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C:\Users\abe912\Downloads\"/>
    </mc:Choice>
  </mc:AlternateContent>
  <xr:revisionPtr revIDLastSave="0" documentId="13_ncr:1_{10B2D073-8C9F-4742-89D3-2FC6F2B5658C}" xr6:coauthVersionLast="47" xr6:coauthVersionMax="47" xr10:uidLastSave="{00000000-0000-0000-0000-000000000000}"/>
  <bookViews>
    <workbookView xWindow="-25320" yWindow="420" windowWidth="25440" windowHeight="15270" tabRatio="500" xr2:uid="{00000000-000D-0000-FFFF-FFFF00000000}"/>
  </bookViews>
  <sheets>
    <sheet name="IFC" sheetId="1" r:id="rId1"/>
    <sheet name="PHA" sheetId="3" r:id="rId2"/>
    <sheet name="NPHC"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0" i="3" l="1"/>
  <c r="D20" i="2" s="1"/>
  <c r="D27" i="1"/>
  <c r="D18" i="2" s="1"/>
  <c r="D22" i="3"/>
  <c r="D29" i="1"/>
  <c r="D22" i="2" s="1"/>
  <c r="E18" i="3"/>
  <c r="E25" i="1"/>
  <c r="O16" i="2"/>
  <c r="N16" i="2"/>
  <c r="N15" i="2"/>
  <c r="L16" i="2"/>
  <c r="L15" i="2"/>
  <c r="E22" i="2"/>
  <c r="D21" i="2"/>
  <c r="E21" i="2"/>
  <c r="I21" i="2"/>
  <c r="K21" i="2"/>
  <c r="M21" i="2"/>
  <c r="C21" i="2"/>
  <c r="E20" i="2"/>
  <c r="O20" i="2"/>
  <c r="D19" i="2"/>
  <c r="E19" i="2"/>
  <c r="I19" i="2"/>
  <c r="K19" i="2"/>
  <c r="M19" i="2"/>
  <c r="O19" i="2"/>
  <c r="C19" i="2"/>
  <c r="E18" i="2"/>
  <c r="D17" i="2"/>
  <c r="E17" i="2"/>
  <c r="I17" i="2"/>
  <c r="K17" i="2"/>
  <c r="M17" i="2"/>
  <c r="C17" i="2"/>
  <c r="Q15" i="2"/>
  <c r="Q16" i="2"/>
  <c r="P17" i="3"/>
  <c r="O20" i="3"/>
  <c r="O19" i="3"/>
  <c r="L18" i="3"/>
  <c r="Q18" i="3"/>
  <c r="K21" i="3"/>
  <c r="M21" i="3"/>
  <c r="G20" i="3"/>
  <c r="G20" i="2" s="1"/>
  <c r="H20" i="3"/>
  <c r="H20" i="2" s="1"/>
  <c r="F20" i="3"/>
  <c r="F20" i="2" s="1"/>
  <c r="D18" i="3"/>
  <c r="L25" i="1"/>
  <c r="M4" i="1"/>
  <c r="M7" i="1"/>
  <c r="M5" i="1"/>
  <c r="M10" i="1"/>
  <c r="M11" i="1"/>
  <c r="M15" i="1"/>
  <c r="M16" i="1"/>
  <c r="M14" i="1"/>
  <c r="M18" i="1"/>
  <c r="M21" i="1"/>
  <c r="M17" i="1"/>
  <c r="M19" i="1"/>
  <c r="M20" i="1"/>
  <c r="M23" i="1"/>
  <c r="M3" i="1"/>
  <c r="K4" i="1"/>
  <c r="K7" i="1"/>
  <c r="K5" i="1"/>
  <c r="K10" i="1"/>
  <c r="K11" i="1"/>
  <c r="K15" i="1"/>
  <c r="K16" i="1"/>
  <c r="K14" i="1"/>
  <c r="K18" i="1"/>
  <c r="K21" i="1"/>
  <c r="K17" i="1"/>
  <c r="K19" i="1"/>
  <c r="K20" i="1"/>
  <c r="K23" i="1"/>
  <c r="K3" i="1"/>
  <c r="M9" i="3"/>
  <c r="M10" i="3"/>
  <c r="M12" i="3"/>
  <c r="M13" i="3"/>
  <c r="M15" i="3"/>
  <c r="M16" i="3"/>
  <c r="M4" i="3"/>
  <c r="M5" i="3"/>
  <c r="M3" i="3"/>
  <c r="K4" i="3"/>
  <c r="K5" i="3"/>
  <c r="K9" i="3"/>
  <c r="K10" i="3"/>
  <c r="K12" i="3"/>
  <c r="K13" i="3"/>
  <c r="K15" i="3"/>
  <c r="K16" i="3"/>
  <c r="K3" i="3"/>
  <c r="M3" i="2"/>
  <c r="M14" i="2"/>
  <c r="M13" i="2"/>
  <c r="K14" i="2"/>
  <c r="H16" i="2"/>
  <c r="H15" i="2"/>
  <c r="G16" i="2"/>
  <c r="F16" i="2"/>
  <c r="G15" i="2"/>
  <c r="G28" i="1" s="1"/>
  <c r="G29" i="1" s="1"/>
  <c r="G22" i="2" s="1"/>
  <c r="F15" i="2"/>
  <c r="G18" i="3"/>
  <c r="H18" i="3"/>
  <c r="F18" i="3"/>
  <c r="G17" i="3"/>
  <c r="G19" i="3" s="1"/>
  <c r="G19" i="2" s="1"/>
  <c r="H17" i="3"/>
  <c r="H19" i="3" s="1"/>
  <c r="H19" i="2" s="1"/>
  <c r="F17" i="3"/>
  <c r="D25" i="1"/>
  <c r="G24" i="1"/>
  <c r="G26" i="1" s="1"/>
  <c r="G27" i="1" s="1"/>
  <c r="G18" i="2" s="1"/>
  <c r="H24" i="1"/>
  <c r="H26" i="1" s="1"/>
  <c r="H27" i="1" s="1"/>
  <c r="H18" i="2" s="1"/>
  <c r="F24" i="1"/>
  <c r="F26" i="1" s="1"/>
  <c r="F27" i="1" s="1"/>
  <c r="F18" i="2" s="1"/>
  <c r="K12" i="2"/>
  <c r="K13" i="2"/>
  <c r="K11" i="2"/>
  <c r="K3" i="2"/>
  <c r="Q17" i="3"/>
  <c r="Q19" i="3" s="1"/>
  <c r="Q19" i="2" s="1"/>
  <c r="I16" i="3"/>
  <c r="I15" i="3"/>
  <c r="I13" i="3"/>
  <c r="I12" i="3"/>
  <c r="I10" i="3"/>
  <c r="I9" i="3"/>
  <c r="I5" i="3"/>
  <c r="I4" i="3"/>
  <c r="I3" i="3"/>
  <c r="Q24" i="1"/>
  <c r="Q25" i="1" s="1"/>
  <c r="I18" i="1"/>
  <c r="I3" i="1"/>
  <c r="I10" i="1"/>
  <c r="I20" i="1"/>
  <c r="I16" i="1"/>
  <c r="I11" i="1"/>
  <c r="I17" i="1"/>
  <c r="I4" i="1"/>
  <c r="I15" i="1"/>
  <c r="I14" i="1"/>
  <c r="I21" i="1"/>
  <c r="I23" i="1"/>
  <c r="I19" i="1"/>
  <c r="I7" i="1"/>
  <c r="I5" i="1"/>
  <c r="O15" i="2"/>
  <c r="P15" i="2"/>
  <c r="P16" i="2" s="1"/>
  <c r="P24" i="1"/>
  <c r="P26" i="1" s="1"/>
  <c r="O24" i="1"/>
  <c r="O26" i="1" s="1"/>
  <c r="O27" i="1" s="1"/>
  <c r="O18" i="2" s="1"/>
  <c r="N24" i="1"/>
  <c r="N26" i="1" s="1"/>
  <c r="N27" i="1" s="1"/>
  <c r="N18" i="2" s="1"/>
  <c r="L24" i="1"/>
  <c r="L26" i="1" s="1"/>
  <c r="J24" i="1"/>
  <c r="J26" i="1" s="1"/>
  <c r="J27" i="1" s="1"/>
  <c r="J18" i="2" s="1"/>
  <c r="O17" i="3"/>
  <c r="O18" i="3" s="1"/>
  <c r="N17" i="3"/>
  <c r="L17" i="3"/>
  <c r="J17" i="3"/>
  <c r="J19" i="3" s="1"/>
  <c r="J19" i="2" s="1"/>
  <c r="J16" i="2"/>
  <c r="J15" i="2"/>
  <c r="I27" i="1" l="1"/>
  <c r="I18" i="2" s="1"/>
  <c r="N25" i="1"/>
  <c r="N28" i="1"/>
  <c r="N29" i="1" s="1"/>
  <c r="N22" i="2" s="1"/>
  <c r="K25" i="1"/>
  <c r="M18" i="3"/>
  <c r="K18" i="3"/>
  <c r="P17" i="2"/>
  <c r="P27" i="1"/>
  <c r="P18" i="2" s="1"/>
  <c r="F28" i="1"/>
  <c r="F21" i="2" s="1"/>
  <c r="J25" i="1"/>
  <c r="P25" i="1"/>
  <c r="F25" i="1"/>
  <c r="O25" i="1"/>
  <c r="H25" i="1"/>
  <c r="I25" i="1"/>
  <c r="I29" i="1"/>
  <c r="I22" i="3" s="1"/>
  <c r="K27" i="1"/>
  <c r="K18" i="2" s="1"/>
  <c r="G25" i="1"/>
  <c r="I18" i="3"/>
  <c r="K20" i="3"/>
  <c r="K20" i="2" s="1"/>
  <c r="I20" i="3"/>
  <c r="I20" i="2" s="1"/>
  <c r="N18" i="3"/>
  <c r="N19" i="3"/>
  <c r="M20" i="3"/>
  <c r="M20" i="2" s="1"/>
  <c r="F19" i="3"/>
  <c r="F19" i="2" s="1"/>
  <c r="H28" i="1"/>
  <c r="H29" i="1" s="1"/>
  <c r="H22" i="2" s="1"/>
  <c r="O17" i="2"/>
  <c r="N17" i="2"/>
  <c r="M27" i="1"/>
  <c r="M18" i="2" s="1"/>
  <c r="H17" i="2"/>
  <c r="O28" i="1"/>
  <c r="O29" i="1" s="1"/>
  <c r="O22" i="2" s="1"/>
  <c r="G17" i="2"/>
  <c r="M29" i="1"/>
  <c r="M22" i="2" s="1"/>
  <c r="Q20" i="3"/>
  <c r="Q20" i="2" s="1"/>
  <c r="P28" i="1"/>
  <c r="P21" i="2" s="1"/>
  <c r="J28" i="1"/>
  <c r="J29" i="1" s="1"/>
  <c r="J22" i="3" s="1"/>
  <c r="J17" i="2"/>
  <c r="F17" i="2"/>
  <c r="K29" i="1"/>
  <c r="K22" i="2" s="1"/>
  <c r="Q26" i="1"/>
  <c r="Q28" i="1"/>
  <c r="Q21" i="2" s="1"/>
  <c r="L17" i="2"/>
  <c r="L27" i="1"/>
  <c r="L18" i="2" s="1"/>
  <c r="L28" i="1"/>
  <c r="L29" i="1" s="1"/>
  <c r="L22" i="2" s="1"/>
  <c r="M25" i="1"/>
  <c r="L19" i="3"/>
  <c r="J20" i="3"/>
  <c r="J20" i="2" s="1"/>
  <c r="J18" i="3"/>
  <c r="G21" i="3"/>
  <c r="G22" i="3" s="1"/>
  <c r="G21" i="2"/>
  <c r="P18" i="3"/>
  <c r="P19" i="3"/>
  <c r="N22" i="3"/>
  <c r="N21" i="2"/>
  <c r="N21" i="3"/>
  <c r="F21" i="3"/>
  <c r="F22" i="3" s="1"/>
  <c r="F29" i="1"/>
  <c r="F22" i="2" s="1"/>
  <c r="I22" i="2" l="1"/>
  <c r="N20" i="3"/>
  <c r="N20" i="2" s="1"/>
  <c r="N19" i="2"/>
  <c r="H21" i="3"/>
  <c r="H22" i="3" s="1"/>
  <c r="H21" i="2"/>
  <c r="O21" i="3"/>
  <c r="O21" i="2"/>
  <c r="M22" i="3"/>
  <c r="O22" i="3"/>
  <c r="P21" i="3"/>
  <c r="J21" i="2"/>
  <c r="P29" i="1"/>
  <c r="P22" i="3" s="1"/>
  <c r="J22" i="2"/>
  <c r="J21" i="3"/>
  <c r="K22" i="3"/>
  <c r="Q29" i="1"/>
  <c r="Q22" i="2" s="1"/>
  <c r="Q21" i="3"/>
  <c r="Q27" i="1"/>
  <c r="Q18" i="2" s="1"/>
  <c r="Q17" i="2"/>
  <c r="L21" i="2"/>
  <c r="L22" i="3"/>
  <c r="L21" i="3"/>
  <c r="L20" i="3"/>
  <c r="L20" i="2" s="1"/>
  <c r="L19" i="2"/>
  <c r="P20" i="3"/>
  <c r="P20" i="2" s="1"/>
  <c r="P19" i="2"/>
  <c r="K16" i="2"/>
  <c r="P22" i="2" l="1"/>
  <c r="Q22" i="3"/>
</calcChain>
</file>

<file path=xl/sharedStrings.xml><?xml version="1.0" encoding="utf-8"?>
<sst xmlns="http://schemas.openxmlformats.org/spreadsheetml/2006/main" count="214" uniqueCount="86">
  <si>
    <t>Interfraternity Council (IFC) Academic and Programming Report - Spring 2026</t>
  </si>
  <si>
    <t>Chapter</t>
  </si>
  <si>
    <t xml:space="preserve">Chapter GPA </t>
  </si>
  <si>
    <t>Active Member GPA</t>
  </si>
  <si>
    <t>New Member GPA</t>
  </si>
  <si>
    <t xml:space="preserve">Total Membership </t>
  </si>
  <si>
    <t>New Members Recruited</t>
  </si>
  <si>
    <t>New Members Retained</t>
  </si>
  <si>
    <t>New Member Retention</t>
  </si>
  <si>
    <t>Community Service Hours</t>
  </si>
  <si>
    <t>Community Service Hours per Member</t>
  </si>
  <si>
    <t>Philanthropic Donations</t>
  </si>
  <si>
    <t>Philanthropic Donations per Member</t>
  </si>
  <si>
    <t>Philanthropic Items Donated</t>
  </si>
  <si>
    <t>Number of Educational Events</t>
  </si>
  <si>
    <t>Number of Registered Events</t>
  </si>
  <si>
    <t>4.00 GPAs</t>
  </si>
  <si>
    <t>Pi Kappa Alpha~</t>
  </si>
  <si>
    <t>UR</t>
  </si>
  <si>
    <t>Theta Chi~</t>
  </si>
  <si>
    <t>Lambda Chi Alpha~</t>
  </si>
  <si>
    <t>All Campus GPA</t>
  </si>
  <si>
    <t>Tau Kappa Epsilon~</t>
  </si>
  <si>
    <t>All FSL GPA</t>
  </si>
  <si>
    <t>All Men's GPA</t>
  </si>
  <si>
    <t>Sigma Phi Epsilon~</t>
  </si>
  <si>
    <t>Phi Gamma Delta~</t>
  </si>
  <si>
    <t>Interfraternity Council GPA</t>
  </si>
  <si>
    <t>All Fraternity GPA</t>
  </si>
  <si>
    <t>Delta Chi~</t>
  </si>
  <si>
    <t>Kappa Sigma~</t>
  </si>
  <si>
    <t>Alpha Gamma Rho</t>
  </si>
  <si>
    <t>Pi Kappa Phi~</t>
  </si>
  <si>
    <t>Sigma Nu~</t>
  </si>
  <si>
    <t>Sigma Pi~</t>
  </si>
  <si>
    <t>-</t>
  </si>
  <si>
    <t>Delta Sigma Phi</t>
  </si>
  <si>
    <t>Sigma Chi~</t>
  </si>
  <si>
    <t>IFC Academic Restriction</t>
  </si>
  <si>
    <t xml:space="preserve">Alpha Sigma Phi </t>
  </si>
  <si>
    <t>Interfraternity Council Total</t>
  </si>
  <si>
    <t>Interfraternity Council Average</t>
  </si>
  <si>
    <t>All Fraternity Total</t>
  </si>
  <si>
    <t>All Fraternity Average</t>
  </si>
  <si>
    <t>All FSL Total</t>
  </si>
  <si>
    <t>All FSL Average</t>
  </si>
  <si>
    <t>NA - Not Applicable</t>
  </si>
  <si>
    <t>UR - Unable to report due to size</t>
  </si>
  <si>
    <t>* denotes a colony</t>
  </si>
  <si>
    <t>~  denotes a chapter house</t>
  </si>
  <si>
    <t xml:space="preserve">Probation Statuses </t>
  </si>
  <si>
    <t xml:space="preserve">Social Probation - A designated period of time in which a chapter is not permitted to host events with alcohol. </t>
  </si>
  <si>
    <t>Level One Probation – A written reprimand for violation of specified policies as well as notice to inter/national organizations of conduct concerns. Probation is for a designated period of time and includes the probability of more severe conduct consequences if the organization is found to be violating any institutional regulation(s) during the probationary period. Organization members may be declared ineligible to campaign for or hold office on their respective governing Council. If found responsible for another violation of University policy and/or a violation of the Governance Statement, it may result in the suspension or dismissal of the organization.</t>
  </si>
  <si>
    <t>Level Two Probation – Serves as both a second chance and final warning to the organization. It is imposed for a specific period of time and affects the chapter’s good standing in the University. While on level two probation, organization members will be declared ineligible to campaign for or hold office on the governing council. If found responsible for a violation of the Fraternity &amp; Sorority Governance Statement while on level two probation, this may result in the suspension or dismissal of the organization from campus.</t>
  </si>
  <si>
    <t>Panhellenic Association (PHA) Academic and Programming Report - Spring 2026</t>
  </si>
  <si>
    <t>Chapter GPA</t>
  </si>
  <si>
    <t>Active Member    GPA</t>
  </si>
  <si>
    <t xml:space="preserve"> New Member   GPA</t>
  </si>
  <si>
    <t>Philanthropic Donation per Member</t>
  </si>
  <si>
    <t>Alpha Delta Pi~</t>
  </si>
  <si>
    <t>Alpha Chi Omega~</t>
  </si>
  <si>
    <t>Alpha Sigma Alpha~</t>
  </si>
  <si>
    <t>All Women's GPA</t>
  </si>
  <si>
    <t>All Sorority GPA</t>
  </si>
  <si>
    <t>Panhellenic Association GPA</t>
  </si>
  <si>
    <t>Sigma Kappa~</t>
  </si>
  <si>
    <t>Xi Omicron Iota</t>
  </si>
  <si>
    <t>Sigma Sigma Sigma~</t>
  </si>
  <si>
    <t>Delta Zeta~</t>
  </si>
  <si>
    <t>Alpha Omicron Pi~</t>
  </si>
  <si>
    <t xml:space="preserve">Sigma Lambda Gamma National Sorority Inc. </t>
  </si>
  <si>
    <t>Panhellenic Association Total</t>
  </si>
  <si>
    <t>Panhellenic Association Average</t>
  </si>
  <si>
    <t>All Sorority Total</t>
  </si>
  <si>
    <t>All Sorority Average</t>
  </si>
  <si>
    <t>National Pan-Hellenic Council (NPHC) Academic and Programming Report - Spring 2026</t>
  </si>
  <si>
    <t xml:space="preserve"> Active Member   GPA</t>
  </si>
  <si>
    <t>New Member   GPA</t>
  </si>
  <si>
    <t xml:space="preserve">Alpha Kappa Alpha Sorority Inc. </t>
  </si>
  <si>
    <t>All NPHC GPA</t>
  </si>
  <si>
    <t>Alpha Phi Alpha Fraternity Inc.</t>
  </si>
  <si>
    <t>Zeta Phi Beta Sorority Inc.</t>
  </si>
  <si>
    <t>Phi Beta Sigma Fraternity Inc.</t>
  </si>
  <si>
    <t>Kappa Alpha Psi Fraternity Inc.</t>
  </si>
  <si>
    <t>National Pan-Hellenic Council Total</t>
  </si>
  <si>
    <t>National Pan-Hellenic Council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</si>
</sst>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0.0%"/>
    <numFmt numFmtId="166" formatCode="#,##0.0"/>
    <numFmt numFmtId="167" formatCode="0.0"/>
  </numFmts>
  <fonts count="14"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0"/>
      <name val="Calibri"/>
      <family val="2"/>
      <scheme val="minor"/>
    </font>
    <font>
      <b/>
      <sz val="11"/>
      <color theme="1"/>
      <name val="Calibri"/>
      <family val="2"/>
      <scheme val="minor"/>
    </font>
    <font>
      <sz val="11"/>
      <name val="Calibri"/>
      <family val="2"/>
      <scheme val="minor"/>
    </font>
    <font>
      <sz val="11"/>
      <color theme="1"/>
      <name val="Calibri"/>
      <family val="2"/>
    </font>
    <font>
      <b/>
      <sz val="14"/>
      <color theme="1"/>
      <name val="Calibri"/>
      <family val="2"/>
      <scheme val="minor"/>
    </font>
    <font>
      <b/>
      <sz val="11"/>
      <name val="Calibri"/>
      <family val="2"/>
      <scheme val="minor"/>
    </font>
    <font>
      <i/>
      <sz val="11"/>
      <color theme="1"/>
      <name val="Calibri"/>
      <family val="2"/>
      <scheme val="minor"/>
    </font>
    <font>
      <sz val="11"/>
      <color rgb="FF000000"/>
      <name val="Calibri"/>
      <charset val="1"/>
    </font>
    <font>
      <sz val="11"/>
      <color rgb="FF000000"/>
      <name val="Calibri"/>
      <scheme val="minor"/>
    </font>
    <font>
      <sz val="11"/>
      <color rgb="FF000000"/>
      <name val="Calibri"/>
      <family val="2"/>
      <scheme val="minor"/>
    </font>
  </fonts>
  <fills count="13">
    <fill>
      <patternFill patternType="none"/>
    </fill>
    <fill>
      <patternFill patternType="gray125"/>
    </fill>
    <fill>
      <patternFill patternType="solid">
        <fgColor theme="4" tint="0.39997558519241921"/>
        <bgColor indexed="65"/>
      </patternFill>
    </fill>
    <fill>
      <patternFill patternType="solid">
        <fgColor theme="3" tint="0.59999389629810485"/>
        <bgColor indexed="64"/>
      </patternFill>
    </fill>
    <fill>
      <patternFill patternType="solid">
        <fgColor theme="7" tint="0.79998168889431442"/>
        <bgColor indexed="65"/>
      </patternFill>
    </fill>
    <fill>
      <patternFill patternType="solid">
        <fgColor theme="7" tint="0.39997558519241921"/>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64"/>
      </patternFill>
    </fill>
  </fills>
  <borders count="31">
    <border>
      <left/>
      <right/>
      <top/>
      <bottom/>
      <diagonal/>
    </border>
    <border>
      <left/>
      <right/>
      <top style="medium">
        <color auto="1"/>
      </top>
      <bottom/>
      <diagonal/>
    </border>
    <border>
      <left/>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theme="0" tint="-4.9989318521683403E-2"/>
      </right>
      <top style="thin">
        <color theme="0" tint="-4.9989318521683403E-2"/>
      </top>
      <bottom/>
      <diagonal/>
    </border>
    <border>
      <left/>
      <right/>
      <top style="medium">
        <color rgb="FF000000"/>
      </top>
      <bottom style="thick">
        <color indexed="64"/>
      </bottom>
      <diagonal/>
    </border>
    <border>
      <left style="medium">
        <color rgb="FF000000"/>
      </left>
      <right/>
      <top style="medium">
        <color rgb="FF000000"/>
      </top>
      <bottom style="thick">
        <color indexed="64"/>
      </bottom>
      <diagonal/>
    </border>
    <border>
      <left/>
      <right style="medium">
        <color rgb="FF000000"/>
      </right>
      <top style="medium">
        <color rgb="FF000000"/>
      </top>
      <bottom style="thick">
        <color indexed="64"/>
      </bottom>
      <diagonal/>
    </border>
    <border>
      <left style="thin">
        <color indexed="64"/>
      </left>
      <right/>
      <top style="medium">
        <color rgb="FF000000"/>
      </top>
      <bottom/>
      <diagonal/>
    </border>
    <border>
      <left style="thin">
        <color indexed="64"/>
      </left>
      <right/>
      <top/>
      <bottom/>
      <diagonal/>
    </border>
    <border>
      <left style="thin">
        <color indexed="64"/>
      </left>
      <right/>
      <top/>
      <bottom style="medium">
        <color auto="1"/>
      </bottom>
      <diagonal/>
    </border>
    <border>
      <left/>
      <right style="thin">
        <color indexed="64"/>
      </right>
      <top style="medium">
        <color rgb="FF000000"/>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medium">
        <color rgb="FF000000"/>
      </bottom>
      <diagonal/>
    </border>
  </borders>
  <cellStyleXfs count="6">
    <xf numFmtId="0" fontId="0" fillId="0" borderId="0"/>
    <xf numFmtId="44" fontId="3" fillId="0" borderId="0" applyFont="0" applyFill="0" applyBorder="0" applyAlignment="0" applyProtection="0"/>
    <xf numFmtId="0" fontId="4" fillId="2" borderId="0" applyNumberFormat="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 fillId="4" borderId="0" applyNumberFormat="0" applyBorder="0" applyAlignment="0" applyProtection="0"/>
  </cellStyleXfs>
  <cellXfs count="274">
    <xf numFmtId="0" fontId="0" fillId="0" borderId="0" xfId="0"/>
    <xf numFmtId="0" fontId="2" fillId="0" borderId="0" xfId="0" applyFont="1" applyAlignment="1">
      <alignment horizontal="center"/>
    </xf>
    <xf numFmtId="0" fontId="5" fillId="0" borderId="0" xfId="0" applyFont="1"/>
    <xf numFmtId="0" fontId="2" fillId="0" borderId="0" xfId="0" applyFont="1"/>
    <xf numFmtId="0" fontId="10" fillId="0" borderId="0" xfId="0" applyFont="1" applyAlignment="1">
      <alignment vertical="center" wrapText="1"/>
    </xf>
    <xf numFmtId="0" fontId="5" fillId="4" borderId="0" xfId="5" applyFont="1" applyBorder="1" applyAlignment="1">
      <alignment horizontal="center" vertical="center"/>
    </xf>
    <xf numFmtId="1" fontId="5" fillId="4" borderId="0" xfId="5" applyNumberFormat="1" applyFont="1" applyBorder="1" applyAlignment="1">
      <alignment horizontal="center" vertical="center"/>
    </xf>
    <xf numFmtId="0" fontId="5" fillId="10" borderId="0" xfId="5" applyFont="1" applyFill="1" applyBorder="1" applyAlignment="1">
      <alignment horizontal="center" vertical="center"/>
    </xf>
    <xf numFmtId="1" fontId="5" fillId="10" borderId="0" xfId="5" applyNumberFormat="1" applyFont="1" applyFill="1" applyBorder="1" applyAlignment="1">
      <alignment horizontal="center" vertical="center"/>
    </xf>
    <xf numFmtId="2" fontId="5" fillId="10" borderId="0" xfId="5" applyNumberFormat="1" applyFont="1" applyFill="1" applyBorder="1" applyAlignment="1">
      <alignment horizontal="center" vertical="center"/>
    </xf>
    <xf numFmtId="14" fontId="0" fillId="0" borderId="0" xfId="0" applyNumberFormat="1"/>
    <xf numFmtId="0" fontId="0" fillId="0" borderId="0" xfId="0" applyAlignment="1">
      <alignment horizontal="center"/>
    </xf>
    <xf numFmtId="0" fontId="8" fillId="0" borderId="0" xfId="0" applyFont="1" applyAlignment="1">
      <alignment horizontal="center" vertical="center"/>
    </xf>
    <xf numFmtId="0" fontId="10" fillId="0" borderId="0" xfId="0" applyFont="1" applyAlignment="1">
      <alignment horizontal="left" vertical="center"/>
    </xf>
    <xf numFmtId="0" fontId="6" fillId="0" borderId="10" xfId="2" applyFont="1" applyFill="1" applyBorder="1" applyAlignment="1">
      <alignment horizontal="center" vertical="center"/>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0" xfId="0" applyFont="1" applyAlignment="1">
      <alignment horizontal="center"/>
    </xf>
    <xf numFmtId="2" fontId="5" fillId="4" borderId="0" xfId="5" applyNumberFormat="1" applyFont="1" applyBorder="1" applyAlignment="1">
      <alignment horizontal="center" vertical="center"/>
    </xf>
    <xf numFmtId="0" fontId="7" fillId="0" borderId="0" xfId="0" applyFont="1" applyAlignment="1">
      <alignment horizontal="center" vertical="center"/>
    </xf>
    <xf numFmtId="0" fontId="5" fillId="11" borderId="0" xfId="0" applyFont="1" applyFill="1" applyAlignment="1">
      <alignment horizontal="center" vertical="center"/>
    </xf>
    <xf numFmtId="2" fontId="5" fillId="11" borderId="0" xfId="0" applyNumberFormat="1" applyFont="1" applyFill="1" applyAlignment="1">
      <alignment horizontal="center" vertical="center"/>
    </xf>
    <xf numFmtId="0" fontId="5"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13" xfId="0" applyFont="1" applyBorder="1" applyAlignment="1">
      <alignment horizontal="center" vertical="center" wrapText="1"/>
    </xf>
    <xf numFmtId="2" fontId="11" fillId="0" borderId="0" xfId="0" applyNumberFormat="1" applyFont="1" applyAlignment="1">
      <alignment horizontal="center"/>
    </xf>
    <xf numFmtId="0" fontId="11" fillId="0" borderId="0" xfId="0" applyFont="1" applyAlignment="1">
      <alignment horizontal="center" vertical="center"/>
    </xf>
    <xf numFmtId="0" fontId="10" fillId="0" borderId="0" xfId="0" applyFont="1"/>
    <xf numFmtId="0" fontId="10" fillId="0" borderId="0" xfId="0" applyFont="1" applyAlignment="1">
      <alignment vertical="center"/>
    </xf>
    <xf numFmtId="0" fontId="5" fillId="0" borderId="21" xfId="0" applyFont="1" applyBorder="1" applyAlignment="1">
      <alignment horizontal="center" vertical="center" wrapText="1"/>
    </xf>
    <xf numFmtId="0" fontId="9"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11" fillId="0" borderId="12" xfId="0" applyFont="1" applyBorder="1" applyAlignment="1">
      <alignment horizontal="center" vertical="center"/>
    </xf>
    <xf numFmtId="9" fontId="13" fillId="0" borderId="0" xfId="0" quotePrefix="1" applyNumberFormat="1" applyFont="1" applyAlignment="1">
      <alignment horizontal="center"/>
    </xf>
    <xf numFmtId="9" fontId="13" fillId="0" borderId="2" xfId="0" quotePrefix="1" applyNumberFormat="1" applyFont="1" applyBorder="1" applyAlignment="1">
      <alignment horizontal="center"/>
    </xf>
    <xf numFmtId="0" fontId="5" fillId="0" borderId="7" xfId="0" applyFont="1" applyBorder="1" applyAlignment="1">
      <alignment horizontal="center" vertical="center" wrapText="1"/>
    </xf>
    <xf numFmtId="2" fontId="1" fillId="0" borderId="0" xfId="0" applyNumberFormat="1" applyFont="1" applyAlignment="1">
      <alignment horizontal="center" vertical="center"/>
    </xf>
    <xf numFmtId="0" fontId="1" fillId="0" borderId="0" xfId="0" applyFont="1" applyAlignment="1">
      <alignment horizontal="center" vertical="center"/>
    </xf>
    <xf numFmtId="2" fontId="1" fillId="0" borderId="2" xfId="0" applyNumberFormat="1" applyFont="1" applyBorder="1" applyAlignment="1">
      <alignment horizontal="center" vertical="center"/>
    </xf>
    <xf numFmtId="9" fontId="13" fillId="0" borderId="12" xfId="0" quotePrefix="1" applyNumberFormat="1" applyFont="1" applyBorder="1" applyAlignment="1">
      <alignment horizontal="center"/>
    </xf>
    <xf numFmtId="0" fontId="1" fillId="0" borderId="14" xfId="0" applyFont="1" applyBorder="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horizontal="center"/>
    </xf>
    <xf numFmtId="165" fontId="1" fillId="0" borderId="0" xfId="4" applyNumberFormat="1" applyFont="1" applyFill="1" applyBorder="1" applyAlignment="1">
      <alignment horizontal="center" vertical="center"/>
    </xf>
    <xf numFmtId="166" fontId="1" fillId="0" borderId="0" xfId="0" applyNumberFormat="1" applyFont="1" applyAlignment="1">
      <alignment horizontal="center" vertical="center"/>
    </xf>
    <xf numFmtId="164" fontId="1" fillId="0" borderId="0" xfId="1" applyNumberFormat="1" applyFont="1" applyFill="1" applyBorder="1" applyAlignment="1">
      <alignment horizontal="center" vertical="center"/>
    </xf>
    <xf numFmtId="164" fontId="1" fillId="0" borderId="0" xfId="1" applyNumberFormat="1" applyFont="1" applyBorder="1" applyAlignment="1">
      <alignment horizontal="center" vertical="center"/>
    </xf>
    <xf numFmtId="1" fontId="1" fillId="0" borderId="0" xfId="1" applyNumberFormat="1" applyFont="1" applyFill="1" applyBorder="1" applyAlignment="1">
      <alignment horizontal="center" vertical="center"/>
    </xf>
    <xf numFmtId="0" fontId="1" fillId="0" borderId="10" xfId="0" applyFont="1" applyBorder="1" applyAlignment="1">
      <alignment horizontal="center" vertical="center"/>
    </xf>
    <xf numFmtId="0" fontId="1" fillId="0" borderId="0" xfId="0" applyFont="1"/>
    <xf numFmtId="1" fontId="1" fillId="0" borderId="0" xfId="1" applyNumberFormat="1" applyFont="1" applyBorder="1" applyAlignment="1">
      <alignment horizontal="center" vertical="center"/>
    </xf>
    <xf numFmtId="0" fontId="1" fillId="11" borderId="14" xfId="0" applyFont="1" applyFill="1" applyBorder="1" applyAlignment="1">
      <alignment horizontal="center" vertical="center"/>
    </xf>
    <xf numFmtId="2" fontId="1" fillId="11" borderId="0" xfId="0" applyNumberFormat="1" applyFont="1" applyFill="1" applyAlignment="1">
      <alignment horizontal="center" vertical="center"/>
    </xf>
    <xf numFmtId="0" fontId="1" fillId="11" borderId="0" xfId="0" applyFont="1" applyFill="1" applyAlignment="1">
      <alignment horizontal="center" vertical="center"/>
    </xf>
    <xf numFmtId="1" fontId="1" fillId="11" borderId="0" xfId="0" applyNumberFormat="1" applyFont="1" applyFill="1" applyAlignment="1">
      <alignment horizontal="center" vertical="center"/>
    </xf>
    <xf numFmtId="166" fontId="1" fillId="11" borderId="0" xfId="0" applyNumberFormat="1" applyFont="1" applyFill="1" applyAlignment="1">
      <alignment horizontal="center" vertical="center"/>
    </xf>
    <xf numFmtId="164" fontId="1" fillId="11" borderId="0" xfId="1" applyNumberFormat="1" applyFont="1" applyFill="1" applyBorder="1" applyAlignment="1">
      <alignment horizontal="center" vertical="center"/>
    </xf>
    <xf numFmtId="1" fontId="1" fillId="11" borderId="0" xfId="1" applyNumberFormat="1" applyFont="1" applyFill="1" applyBorder="1" applyAlignment="1">
      <alignment horizontal="center" vertical="center"/>
    </xf>
    <xf numFmtId="0" fontId="1" fillId="11" borderId="10" xfId="0" applyFont="1" applyFill="1" applyBorder="1" applyAlignment="1">
      <alignment horizontal="center" vertical="center"/>
    </xf>
    <xf numFmtId="166" fontId="1" fillId="12" borderId="0" xfId="0" applyNumberFormat="1" applyFont="1" applyFill="1" applyAlignment="1">
      <alignment horizontal="center" vertical="center"/>
    </xf>
    <xf numFmtId="0" fontId="1" fillId="11" borderId="10" xfId="2" applyFont="1" applyFill="1" applyBorder="1" applyAlignment="1">
      <alignment horizontal="center" vertical="center"/>
    </xf>
    <xf numFmtId="1" fontId="1" fillId="0" borderId="0" xfId="0" applyNumberFormat="1" applyFont="1" applyAlignment="1">
      <alignment horizontal="center"/>
    </xf>
    <xf numFmtId="0" fontId="1" fillId="0" borderId="10" xfId="2" applyFont="1" applyFill="1" applyBorder="1" applyAlignment="1">
      <alignment horizontal="center" vertical="center"/>
    </xf>
    <xf numFmtId="4" fontId="1" fillId="11" borderId="0" xfId="0" applyNumberFormat="1" applyFont="1" applyFill="1" applyAlignment="1">
      <alignment horizontal="center" vertical="center"/>
    </xf>
    <xf numFmtId="165" fontId="1" fillId="0" borderId="2" xfId="4" applyNumberFormat="1" applyFont="1" applyFill="1" applyBorder="1" applyAlignment="1">
      <alignment horizontal="center" vertical="center"/>
    </xf>
    <xf numFmtId="166" fontId="1" fillId="0" borderId="20" xfId="0" applyNumberFormat="1" applyFont="1" applyBorder="1" applyAlignment="1">
      <alignment horizontal="center" vertical="center"/>
    </xf>
    <xf numFmtId="2" fontId="1" fillId="3" borderId="12" xfId="0" quotePrefix="1" applyNumberFormat="1" applyFont="1" applyFill="1" applyBorder="1" applyAlignment="1">
      <alignment horizontal="center" vertical="center"/>
    </xf>
    <xf numFmtId="0" fontId="1" fillId="3" borderId="12" xfId="0" quotePrefix="1" applyFont="1" applyFill="1" applyBorder="1" applyAlignment="1">
      <alignment horizontal="center" vertical="center"/>
    </xf>
    <xf numFmtId="3" fontId="1" fillId="3" borderId="12" xfId="0" applyNumberFormat="1" applyFont="1" applyFill="1" applyBorder="1" applyAlignment="1">
      <alignment horizontal="center" vertical="center"/>
    </xf>
    <xf numFmtId="165" fontId="1" fillId="3" borderId="0" xfId="0" applyNumberFormat="1" applyFont="1" applyFill="1" applyAlignment="1">
      <alignment horizontal="center" vertical="center"/>
    </xf>
    <xf numFmtId="2" fontId="1" fillId="3" borderId="12" xfId="0" applyNumberFormat="1" applyFont="1" applyFill="1" applyBorder="1" applyAlignment="1">
      <alignment horizontal="center" vertical="center"/>
    </xf>
    <xf numFmtId="164" fontId="1" fillId="3" borderId="12" xfId="1" applyNumberFormat="1" applyFont="1" applyFill="1" applyBorder="1" applyAlignment="1">
      <alignment horizontal="center" vertical="center"/>
    </xf>
    <xf numFmtId="164" fontId="1" fillId="3" borderId="12" xfId="1" quotePrefix="1" applyNumberFormat="1" applyFont="1" applyFill="1" applyBorder="1" applyAlignment="1">
      <alignment horizontal="center" vertical="center"/>
    </xf>
    <xf numFmtId="1" fontId="1" fillId="3" borderId="12" xfId="0" applyNumberFormat="1"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2" fontId="1" fillId="7" borderId="0" xfId="0" applyNumberFormat="1" applyFont="1" applyFill="1" applyAlignment="1">
      <alignment horizontal="center" vertical="center"/>
    </xf>
    <xf numFmtId="1" fontId="1" fillId="7" borderId="0" xfId="0" applyNumberFormat="1" applyFont="1" applyFill="1" applyAlignment="1">
      <alignment horizontal="center" vertical="center"/>
    </xf>
    <xf numFmtId="165" fontId="1" fillId="7" borderId="0" xfId="4" applyNumberFormat="1" applyFont="1" applyFill="1" applyBorder="1" applyAlignment="1">
      <alignment horizontal="center" vertical="center"/>
    </xf>
    <xf numFmtId="3" fontId="1" fillId="7" borderId="0" xfId="0" applyNumberFormat="1" applyFont="1" applyFill="1" applyAlignment="1">
      <alignment horizontal="center" vertical="center"/>
    </xf>
    <xf numFmtId="164" fontId="1" fillId="7" borderId="0" xfId="1" applyNumberFormat="1" applyFont="1" applyFill="1" applyAlignment="1">
      <alignment horizontal="center" vertical="center"/>
    </xf>
    <xf numFmtId="1" fontId="1" fillId="7" borderId="10" xfId="0" applyNumberFormat="1" applyFont="1" applyFill="1" applyBorder="1" applyAlignment="1">
      <alignment horizontal="center" vertical="center"/>
    </xf>
    <xf numFmtId="0" fontId="1" fillId="3" borderId="0" xfId="0" quotePrefix="1" applyFont="1" applyFill="1" applyAlignment="1">
      <alignment horizontal="center" vertical="center"/>
    </xf>
    <xf numFmtId="3" fontId="1" fillId="3" borderId="0" xfId="0" applyNumberFormat="1" applyFont="1" applyFill="1" applyAlignment="1">
      <alignment horizontal="center" vertical="center"/>
    </xf>
    <xf numFmtId="0" fontId="1" fillId="3" borderId="0" xfId="0" applyFont="1" applyFill="1" applyAlignment="1">
      <alignment horizontal="center" vertical="center"/>
    </xf>
    <xf numFmtId="164" fontId="1" fillId="3" borderId="0" xfId="1" applyNumberFormat="1" applyFont="1" applyFill="1" applyAlignment="1">
      <alignment horizontal="center" vertical="center"/>
    </xf>
    <xf numFmtId="1" fontId="1" fillId="3" borderId="0" xfId="0" applyNumberFormat="1" applyFont="1" applyFill="1" applyAlignment="1">
      <alignment horizontal="center" vertical="center"/>
    </xf>
    <xf numFmtId="0" fontId="1" fillId="3" borderId="10" xfId="0" applyFont="1" applyFill="1" applyBorder="1" applyAlignment="1">
      <alignment horizontal="center" vertical="center"/>
    </xf>
    <xf numFmtId="0" fontId="1" fillId="7" borderId="14" xfId="0" applyFont="1" applyFill="1" applyBorder="1" applyAlignment="1">
      <alignment horizontal="left"/>
    </xf>
    <xf numFmtId="0" fontId="1" fillId="7" borderId="0" xfId="0" applyFont="1" applyFill="1" applyAlignment="1">
      <alignment horizontal="left"/>
    </xf>
    <xf numFmtId="2" fontId="1" fillId="7" borderId="16" xfId="0" applyNumberFormat="1" applyFont="1" applyFill="1" applyBorder="1" applyAlignment="1">
      <alignment horizontal="center" vertical="center"/>
    </xf>
    <xf numFmtId="0" fontId="1" fillId="7" borderId="16" xfId="0" applyFont="1" applyFill="1" applyBorder="1" applyAlignment="1">
      <alignment horizontal="center" vertical="center"/>
    </xf>
    <xf numFmtId="1" fontId="1" fillId="7" borderId="16" xfId="0" applyNumberFormat="1" applyFont="1" applyFill="1" applyBorder="1" applyAlignment="1">
      <alignment horizontal="center" vertical="center"/>
    </xf>
    <xf numFmtId="165" fontId="1" fillId="7" borderId="16" xfId="4" applyNumberFormat="1" applyFont="1" applyFill="1" applyBorder="1" applyAlignment="1">
      <alignment horizontal="center" vertical="center"/>
    </xf>
    <xf numFmtId="3" fontId="1" fillId="7" borderId="16" xfId="0" applyNumberFormat="1" applyFont="1" applyFill="1" applyBorder="1" applyAlignment="1">
      <alignment horizontal="center"/>
    </xf>
    <xf numFmtId="2" fontId="1" fillId="7" borderId="16" xfId="0" applyNumberFormat="1" applyFont="1" applyFill="1" applyBorder="1" applyAlignment="1">
      <alignment horizontal="center"/>
    </xf>
    <xf numFmtId="164" fontId="1" fillId="7" borderId="16" xfId="1" applyNumberFormat="1" applyFont="1" applyFill="1" applyBorder="1" applyAlignment="1">
      <alignment horizontal="center"/>
    </xf>
    <xf numFmtId="1" fontId="1" fillId="7" borderId="16" xfId="0" applyNumberFormat="1" applyFont="1" applyFill="1" applyBorder="1" applyAlignment="1">
      <alignment horizontal="center"/>
    </xf>
    <xf numFmtId="1" fontId="1" fillId="7" borderId="17" xfId="0" applyNumberFormat="1" applyFont="1" applyFill="1" applyBorder="1" applyAlignment="1">
      <alignment horizontal="center"/>
    </xf>
    <xf numFmtId="0" fontId="1" fillId="0" borderId="0" xfId="0" applyFont="1" applyAlignment="1">
      <alignment horizontal="left" vertical="center"/>
    </xf>
    <xf numFmtId="2" fontId="1" fillId="0" borderId="0" xfId="0" applyNumberFormat="1" applyFont="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2" fontId="1" fillId="0" borderId="12" xfId="0" applyNumberFormat="1" applyFont="1" applyBorder="1" applyAlignment="1">
      <alignment horizontal="center" vertical="center"/>
    </xf>
    <xf numFmtId="1" fontId="1" fillId="0" borderId="12" xfId="0" applyNumberFormat="1" applyFont="1" applyBorder="1" applyAlignment="1">
      <alignment horizontal="center" vertical="center"/>
    </xf>
    <xf numFmtId="9" fontId="1" fillId="0" borderId="12" xfId="4" applyFont="1" applyBorder="1" applyAlignment="1">
      <alignment horizontal="center" vertical="center"/>
    </xf>
    <xf numFmtId="166" fontId="1" fillId="0" borderId="12" xfId="0" applyNumberFormat="1" applyFont="1" applyBorder="1" applyAlignment="1">
      <alignment horizontal="center"/>
    </xf>
    <xf numFmtId="164" fontId="1" fillId="0" borderId="12" xfId="1" applyNumberFormat="1" applyFont="1" applyBorder="1" applyAlignment="1">
      <alignment horizontal="center" vertical="center"/>
    </xf>
    <xf numFmtId="0" fontId="1" fillId="0" borderId="27" xfId="0" applyFont="1" applyBorder="1" applyAlignment="1">
      <alignment horizontal="center" vertical="center"/>
    </xf>
    <xf numFmtId="9" fontId="1" fillId="0" borderId="0" xfId="4" applyFont="1" applyBorder="1" applyAlignment="1">
      <alignment horizontal="center" vertical="center"/>
    </xf>
    <xf numFmtId="166" fontId="1" fillId="0" borderId="0" xfId="0" applyNumberFormat="1" applyFont="1" applyAlignment="1">
      <alignment horizontal="center"/>
    </xf>
    <xf numFmtId="164" fontId="1" fillId="0" borderId="0" xfId="1" applyNumberFormat="1" applyFont="1" applyAlignment="1">
      <alignment horizontal="center" vertical="center"/>
    </xf>
    <xf numFmtId="0" fontId="1" fillId="0" borderId="28" xfId="0" applyFont="1" applyBorder="1" applyAlignment="1">
      <alignment horizontal="center" vertical="center"/>
    </xf>
    <xf numFmtId="0" fontId="1" fillId="0" borderId="0" xfId="1" applyNumberFormat="1" applyFont="1" applyBorder="1" applyAlignment="1">
      <alignment horizontal="center" vertical="center"/>
    </xf>
    <xf numFmtId="0" fontId="1" fillId="4" borderId="14" xfId="5" applyFont="1" applyBorder="1" applyAlignment="1">
      <alignment horizontal="center" vertical="center"/>
    </xf>
    <xf numFmtId="0" fontId="1" fillId="4" borderId="0" xfId="5" applyFont="1" applyBorder="1" applyAlignment="1">
      <alignment horizontal="center" vertical="center"/>
    </xf>
    <xf numFmtId="165" fontId="1" fillId="4" borderId="0" xfId="5" applyNumberFormat="1" applyFont="1" applyBorder="1" applyAlignment="1">
      <alignment horizontal="center" vertical="center"/>
    </xf>
    <xf numFmtId="166" fontId="1" fillId="4" borderId="0" xfId="5" applyNumberFormat="1" applyFont="1" applyBorder="1" applyAlignment="1">
      <alignment horizontal="center" vertical="center"/>
    </xf>
    <xf numFmtId="164" fontId="1" fillId="4" borderId="0" xfId="1" applyNumberFormat="1" applyFont="1" applyFill="1" applyBorder="1" applyAlignment="1">
      <alignment horizontal="center" vertical="center"/>
    </xf>
    <xf numFmtId="0" fontId="1" fillId="4" borderId="0" xfId="5" applyNumberFormat="1" applyFont="1" applyBorder="1" applyAlignment="1">
      <alignment horizontal="center" vertical="center"/>
    </xf>
    <xf numFmtId="0" fontId="1" fillId="4" borderId="28" xfId="5" applyFont="1" applyBorder="1" applyAlignment="1">
      <alignment horizontal="center" vertical="center"/>
    </xf>
    <xf numFmtId="4" fontId="1" fillId="4" borderId="0" xfId="5" applyNumberFormat="1" applyFont="1" applyBorder="1" applyAlignment="1">
      <alignment horizontal="center" vertical="center"/>
    </xf>
    <xf numFmtId="0" fontId="1" fillId="0" borderId="0" xfId="0" applyFont="1" applyAlignment="1">
      <alignment horizontal="center" vertical="center" wrapText="1"/>
    </xf>
    <xf numFmtId="165" fontId="1" fillId="0" borderId="0" xfId="4" applyNumberFormat="1" applyFont="1" applyBorder="1" applyAlignment="1">
      <alignment horizontal="center" vertical="center"/>
    </xf>
    <xf numFmtId="0" fontId="1" fillId="0" borderId="0" xfId="5" applyFont="1" applyFill="1" applyBorder="1" applyAlignment="1">
      <alignment horizontal="center" vertical="center"/>
    </xf>
    <xf numFmtId="0" fontId="1" fillId="12" borderId="0" xfId="0" applyFont="1" applyFill="1" applyAlignment="1">
      <alignment horizontal="center"/>
    </xf>
    <xf numFmtId="0" fontId="1" fillId="12" borderId="0" xfId="0" applyFont="1" applyFill="1" applyAlignment="1">
      <alignment horizontal="center" vertical="center"/>
    </xf>
    <xf numFmtId="167" fontId="1" fillId="0" borderId="0" xfId="0" applyNumberFormat="1" applyFont="1" applyAlignment="1">
      <alignment horizontal="center" vertical="center"/>
    </xf>
    <xf numFmtId="164" fontId="1" fillId="0" borderId="2" xfId="1" applyNumberFormat="1" applyFont="1" applyBorder="1" applyAlignment="1">
      <alignment horizontal="center" vertical="center"/>
    </xf>
    <xf numFmtId="0" fontId="1" fillId="6" borderId="12" xfId="0" quotePrefix="1" applyFont="1" applyFill="1" applyBorder="1" applyAlignment="1">
      <alignment horizontal="center" vertical="center"/>
    </xf>
    <xf numFmtId="2" fontId="1" fillId="6" borderId="12" xfId="0" quotePrefix="1" applyNumberFormat="1" applyFont="1" applyFill="1" applyBorder="1" applyAlignment="1">
      <alignment horizontal="center" vertical="center"/>
    </xf>
    <xf numFmtId="43" fontId="1" fillId="6" borderId="12" xfId="3" quotePrefix="1" applyFont="1" applyFill="1" applyBorder="1" applyAlignment="1">
      <alignment horizontal="center" vertical="center"/>
    </xf>
    <xf numFmtId="3" fontId="1" fillId="6" borderId="12" xfId="0" applyNumberFormat="1" applyFont="1" applyFill="1" applyBorder="1" applyAlignment="1">
      <alignment horizontal="center" vertical="center"/>
    </xf>
    <xf numFmtId="165" fontId="1" fillId="6" borderId="12" xfId="4" applyNumberFormat="1" applyFont="1" applyFill="1" applyBorder="1" applyAlignment="1">
      <alignment horizontal="center" vertical="center"/>
    </xf>
    <xf numFmtId="4" fontId="1" fillId="6" borderId="12" xfId="0" applyNumberFormat="1" applyFont="1" applyFill="1" applyBorder="1" applyAlignment="1">
      <alignment horizontal="center"/>
    </xf>
    <xf numFmtId="0" fontId="1" fillId="6" borderId="0" xfId="0" quotePrefix="1" applyFont="1" applyFill="1" applyAlignment="1">
      <alignment horizontal="center"/>
    </xf>
    <xf numFmtId="164" fontId="1" fillId="6" borderId="12" xfId="1" applyNumberFormat="1" applyFont="1" applyFill="1" applyBorder="1" applyAlignment="1">
      <alignment horizontal="center"/>
    </xf>
    <xf numFmtId="164" fontId="1" fillId="6" borderId="0" xfId="1" quotePrefix="1" applyNumberFormat="1" applyFont="1" applyFill="1" applyBorder="1" applyAlignment="1">
      <alignment horizontal="center"/>
    </xf>
    <xf numFmtId="3" fontId="1" fillId="6" borderId="12" xfId="0" applyNumberFormat="1" applyFont="1" applyFill="1" applyBorder="1" applyAlignment="1">
      <alignment horizontal="center"/>
    </xf>
    <xf numFmtId="0" fontId="1" fillId="6" borderId="12" xfId="0" applyFont="1" applyFill="1" applyBorder="1" applyAlignment="1">
      <alignment horizontal="center"/>
    </xf>
    <xf numFmtId="0" fontId="1" fillId="6" borderId="27" xfId="0" applyFont="1" applyFill="1" applyBorder="1" applyAlignment="1">
      <alignment horizontal="center" vertical="center"/>
    </xf>
    <xf numFmtId="2" fontId="1" fillId="5" borderId="0" xfId="0" applyNumberFormat="1" applyFont="1" applyFill="1" applyAlignment="1">
      <alignment horizontal="center" vertical="center"/>
    </xf>
    <xf numFmtId="3" fontId="1" fillId="5" borderId="0" xfId="0" applyNumberFormat="1" applyFont="1" applyFill="1" applyAlignment="1">
      <alignment horizontal="center" vertical="center"/>
    </xf>
    <xf numFmtId="165" fontId="1" fillId="5" borderId="0" xfId="4" applyNumberFormat="1" applyFont="1" applyFill="1" applyBorder="1" applyAlignment="1">
      <alignment horizontal="center" vertical="center"/>
    </xf>
    <xf numFmtId="4" fontId="1" fillId="5" borderId="0" xfId="0" applyNumberFormat="1" applyFont="1" applyFill="1" applyAlignment="1">
      <alignment horizontal="center" vertical="center"/>
    </xf>
    <xf numFmtId="164" fontId="1" fillId="5" borderId="0" xfId="1" applyNumberFormat="1" applyFont="1" applyFill="1" applyAlignment="1">
      <alignment horizontal="center" vertical="center"/>
    </xf>
    <xf numFmtId="1" fontId="1" fillId="5" borderId="0" xfId="0" applyNumberFormat="1" applyFont="1" applyFill="1" applyAlignment="1">
      <alignment horizontal="center" vertical="center"/>
    </xf>
    <xf numFmtId="1" fontId="1" fillId="5" borderId="28" xfId="0" applyNumberFormat="1" applyFont="1" applyFill="1" applyBorder="1" applyAlignment="1">
      <alignment horizontal="center" vertical="center"/>
    </xf>
    <xf numFmtId="0" fontId="1" fillId="6" borderId="0" xfId="0" quotePrefix="1" applyFont="1" applyFill="1" applyAlignment="1">
      <alignment horizontal="center" vertical="center"/>
    </xf>
    <xf numFmtId="3" fontId="1" fillId="6" borderId="0" xfId="0" applyNumberFormat="1" applyFont="1" applyFill="1" applyAlignment="1">
      <alignment horizontal="center" vertical="center"/>
    </xf>
    <xf numFmtId="165" fontId="1" fillId="6" borderId="0" xfId="4" applyNumberFormat="1" applyFont="1" applyFill="1" applyBorder="1" applyAlignment="1">
      <alignment horizontal="center" vertical="center"/>
    </xf>
    <xf numFmtId="4" fontId="1" fillId="6" borderId="0" xfId="0" applyNumberFormat="1" applyFont="1" applyFill="1" applyAlignment="1">
      <alignment horizontal="center" vertical="center"/>
    </xf>
    <xf numFmtId="1" fontId="1" fillId="6" borderId="0" xfId="0" applyNumberFormat="1" applyFont="1" applyFill="1" applyAlignment="1">
      <alignment horizontal="center" vertical="center"/>
    </xf>
    <xf numFmtId="164" fontId="1" fillId="6" borderId="0" xfId="1" applyNumberFormat="1" applyFont="1" applyFill="1" applyAlignment="1">
      <alignment horizontal="center" vertical="center"/>
    </xf>
    <xf numFmtId="0" fontId="1" fillId="6" borderId="0" xfId="0" applyFont="1" applyFill="1" applyAlignment="1">
      <alignment horizontal="center" vertical="center"/>
    </xf>
    <xf numFmtId="0" fontId="1" fillId="6" borderId="28" xfId="0" applyFont="1" applyFill="1" applyBorder="1" applyAlignment="1">
      <alignment horizontal="center" vertical="center"/>
    </xf>
    <xf numFmtId="0" fontId="1" fillId="5" borderId="14" xfId="0" applyFont="1" applyFill="1" applyBorder="1" applyAlignment="1">
      <alignment horizontal="left"/>
    </xf>
    <xf numFmtId="0" fontId="1" fillId="5" borderId="0" xfId="0" applyFont="1" applyFill="1" applyAlignment="1">
      <alignment horizontal="left"/>
    </xf>
    <xf numFmtId="0" fontId="1" fillId="5" borderId="0" xfId="0" applyFont="1" applyFill="1" applyAlignment="1">
      <alignment horizontal="center" vertical="center"/>
    </xf>
    <xf numFmtId="3" fontId="1" fillId="6" borderId="28" xfId="0" applyNumberFormat="1" applyFont="1" applyFill="1" applyBorder="1" applyAlignment="1">
      <alignment horizontal="center" vertical="center"/>
    </xf>
    <xf numFmtId="2" fontId="1" fillId="5" borderId="16" xfId="0" applyNumberFormat="1" applyFont="1" applyFill="1" applyBorder="1" applyAlignment="1">
      <alignment horizontal="center" vertical="center"/>
    </xf>
    <xf numFmtId="0" fontId="1" fillId="5" borderId="16" xfId="0" applyFont="1" applyFill="1" applyBorder="1" applyAlignment="1">
      <alignment horizontal="center" vertical="center"/>
    </xf>
    <xf numFmtId="3" fontId="1" fillId="5" borderId="16" xfId="0" applyNumberFormat="1" applyFont="1" applyFill="1" applyBorder="1" applyAlignment="1">
      <alignment horizontal="center" vertical="center"/>
    </xf>
    <xf numFmtId="165" fontId="1" fillId="5" borderId="16" xfId="4" applyNumberFormat="1" applyFont="1" applyFill="1" applyBorder="1" applyAlignment="1">
      <alignment horizontal="center" vertical="center"/>
    </xf>
    <xf numFmtId="3" fontId="1" fillId="5" borderId="16" xfId="0" applyNumberFormat="1" applyFont="1" applyFill="1" applyBorder="1" applyAlignment="1">
      <alignment horizontal="center" vertical="center" wrapText="1"/>
    </xf>
    <xf numFmtId="4" fontId="1" fillId="5" borderId="16" xfId="0" applyNumberFormat="1" applyFont="1" applyFill="1" applyBorder="1" applyAlignment="1">
      <alignment horizontal="center" vertical="center" wrapText="1"/>
    </xf>
    <xf numFmtId="164" fontId="1" fillId="5" borderId="16" xfId="1" applyNumberFormat="1" applyFont="1" applyFill="1" applyBorder="1" applyAlignment="1">
      <alignment horizontal="center" vertical="center" wrapText="1"/>
    </xf>
    <xf numFmtId="3" fontId="1" fillId="5" borderId="30" xfId="0" applyNumberFormat="1"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readingOrder="1"/>
    </xf>
    <xf numFmtId="0" fontId="1" fillId="0" borderId="24" xfId="0" applyFont="1" applyBorder="1" applyAlignment="1">
      <alignment horizontal="center" vertical="center"/>
    </xf>
    <xf numFmtId="2" fontId="1" fillId="0" borderId="12" xfId="0" quotePrefix="1" applyNumberFormat="1" applyFont="1" applyBorder="1" applyAlignment="1">
      <alignment horizontal="center" vertical="center"/>
    </xf>
    <xf numFmtId="0" fontId="1" fillId="0" borderId="12" xfId="0" applyFont="1" applyBorder="1" applyAlignment="1">
      <alignment horizontal="center"/>
    </xf>
    <xf numFmtId="167" fontId="1" fillId="0" borderId="12" xfId="0" applyNumberFormat="1" applyFont="1" applyBorder="1" applyAlignment="1">
      <alignment horizontal="center" vertical="center"/>
    </xf>
    <xf numFmtId="1" fontId="1" fillId="0" borderId="12" xfId="1" applyNumberFormat="1" applyFont="1" applyBorder="1" applyAlignment="1">
      <alignment horizontal="center" vertical="center"/>
    </xf>
    <xf numFmtId="0" fontId="1" fillId="10" borderId="25" xfId="5" applyFont="1" applyFill="1" applyBorder="1" applyAlignment="1">
      <alignment horizontal="center" vertical="center"/>
    </xf>
    <xf numFmtId="0" fontId="1" fillId="10" borderId="0" xfId="5" applyFont="1" applyFill="1" applyBorder="1" applyAlignment="1">
      <alignment horizontal="center" vertical="center"/>
    </xf>
    <xf numFmtId="1" fontId="1" fillId="10" borderId="0" xfId="5" applyNumberFormat="1" applyFont="1" applyFill="1" applyBorder="1" applyAlignment="1">
      <alignment horizontal="center" vertical="center"/>
    </xf>
    <xf numFmtId="0" fontId="1" fillId="10" borderId="0" xfId="5" applyNumberFormat="1" applyFont="1" applyFill="1" applyBorder="1" applyAlignment="1">
      <alignment horizontal="center" vertical="center"/>
    </xf>
    <xf numFmtId="2" fontId="1" fillId="10" borderId="0" xfId="0" applyNumberFormat="1" applyFont="1" applyFill="1" applyAlignment="1">
      <alignment horizontal="center" vertical="center"/>
    </xf>
    <xf numFmtId="164" fontId="1" fillId="10" borderId="0" xfId="5" applyNumberFormat="1" applyFont="1" applyFill="1" applyBorder="1" applyAlignment="1">
      <alignment horizontal="center" vertical="center"/>
    </xf>
    <xf numFmtId="0" fontId="1" fillId="10" borderId="28" xfId="5" applyFont="1" applyFill="1" applyBorder="1" applyAlignment="1">
      <alignment horizontal="center" vertical="center"/>
    </xf>
    <xf numFmtId="164" fontId="1" fillId="10" borderId="0" xfId="1" applyNumberFormat="1" applyFont="1" applyFill="1" applyBorder="1" applyAlignment="1">
      <alignment horizontal="center" vertical="center"/>
    </xf>
    <xf numFmtId="167" fontId="1" fillId="10" borderId="0" xfId="5" applyNumberFormat="1" applyFont="1" applyFill="1" applyBorder="1" applyAlignment="1">
      <alignment horizontal="center" vertical="center"/>
    </xf>
    <xf numFmtId="0" fontId="1" fillId="0" borderId="25" xfId="0" applyFont="1" applyBorder="1" applyAlignment="1">
      <alignment horizontal="center" vertical="center"/>
    </xf>
    <xf numFmtId="0" fontId="1" fillId="0" borderId="0" xfId="0" quotePrefix="1" applyFont="1" applyAlignment="1">
      <alignment horizontal="center" vertical="center"/>
    </xf>
    <xf numFmtId="0" fontId="1" fillId="0" borderId="26" xfId="0" applyFont="1" applyBorder="1" applyAlignment="1">
      <alignment horizontal="center" vertical="center"/>
    </xf>
    <xf numFmtId="0" fontId="1" fillId="0" borderId="2" xfId="0" applyFont="1" applyBorder="1" applyAlignment="1">
      <alignment horizontal="center" vertical="center"/>
    </xf>
    <xf numFmtId="2" fontId="1" fillId="0" borderId="2" xfId="0" quotePrefix="1" applyNumberFormat="1" applyFont="1" applyBorder="1" applyAlignment="1">
      <alignment horizontal="center" vertical="center"/>
    </xf>
    <xf numFmtId="0" fontId="1" fillId="0" borderId="2" xfId="0" applyFont="1" applyBorder="1" applyAlignment="1">
      <alignment horizontal="center"/>
    </xf>
    <xf numFmtId="1" fontId="1" fillId="0" borderId="2" xfId="0" applyNumberFormat="1" applyFont="1" applyBorder="1" applyAlignment="1">
      <alignment horizontal="center" vertical="center"/>
    </xf>
    <xf numFmtId="167" fontId="1" fillId="0" borderId="2" xfId="0" applyNumberFormat="1" applyFont="1" applyBorder="1" applyAlignment="1">
      <alignment horizontal="center" vertical="center"/>
    </xf>
    <xf numFmtId="1" fontId="1" fillId="0" borderId="2" xfId="1" applyNumberFormat="1" applyFont="1" applyBorder="1" applyAlignment="1">
      <alignment horizontal="center" vertical="center"/>
    </xf>
    <xf numFmtId="0" fontId="1" fillId="0" borderId="29" xfId="0" applyFont="1" applyBorder="1" applyAlignment="1">
      <alignment horizontal="center" vertical="center"/>
    </xf>
    <xf numFmtId="0" fontId="1" fillId="9" borderId="0" xfId="0" quotePrefix="1" applyFont="1" applyFill="1" applyAlignment="1">
      <alignment horizontal="center" vertical="center"/>
    </xf>
    <xf numFmtId="43" fontId="1" fillId="9" borderId="0" xfId="3" quotePrefix="1" applyFont="1" applyFill="1" applyBorder="1" applyAlignment="1">
      <alignment horizontal="center" vertical="center"/>
    </xf>
    <xf numFmtId="1" fontId="1" fillId="9" borderId="0" xfId="0" applyNumberFormat="1" applyFont="1" applyFill="1" applyAlignment="1">
      <alignment horizontal="center" vertical="center"/>
    </xf>
    <xf numFmtId="9" fontId="1" fillId="9" borderId="0" xfId="0" applyNumberFormat="1" applyFont="1" applyFill="1" applyAlignment="1">
      <alignment horizontal="center" vertical="center"/>
    </xf>
    <xf numFmtId="2" fontId="1" fillId="9" borderId="0" xfId="0" quotePrefix="1" applyNumberFormat="1" applyFont="1" applyFill="1" applyAlignment="1">
      <alignment horizontal="center" vertical="center"/>
    </xf>
    <xf numFmtId="164" fontId="1" fillId="9" borderId="0" xfId="1" applyNumberFormat="1" applyFont="1" applyFill="1" applyAlignment="1">
      <alignment horizontal="center" vertical="center"/>
    </xf>
    <xf numFmtId="164" fontId="1" fillId="9" borderId="0" xfId="1" quotePrefix="1" applyNumberFormat="1" applyFont="1" applyFill="1" applyAlignment="1">
      <alignment horizontal="center" vertical="center"/>
    </xf>
    <xf numFmtId="0" fontId="1" fillId="9" borderId="0" xfId="0" applyFont="1" applyFill="1" applyAlignment="1">
      <alignment horizontal="center" vertical="center"/>
    </xf>
    <xf numFmtId="1" fontId="1" fillId="9" borderId="28" xfId="0" applyNumberFormat="1" applyFont="1" applyFill="1" applyBorder="1" applyAlignment="1">
      <alignment horizontal="center" vertical="center"/>
    </xf>
    <xf numFmtId="2" fontId="1" fillId="8" borderId="0" xfId="0" applyNumberFormat="1" applyFont="1" applyFill="1" applyAlignment="1">
      <alignment horizontal="center" vertical="center"/>
    </xf>
    <xf numFmtId="1" fontId="1" fillId="8" borderId="0" xfId="0" applyNumberFormat="1" applyFont="1" applyFill="1" applyAlignment="1">
      <alignment horizontal="center" vertical="center"/>
    </xf>
    <xf numFmtId="9" fontId="1" fillId="8" borderId="0" xfId="4" applyFont="1" applyFill="1" applyBorder="1" applyAlignment="1">
      <alignment horizontal="center" vertical="center"/>
    </xf>
    <xf numFmtId="164" fontId="1" fillId="8" borderId="0" xfId="1" applyNumberFormat="1" applyFont="1" applyFill="1" applyAlignment="1">
      <alignment horizontal="center" vertical="center"/>
    </xf>
    <xf numFmtId="0" fontId="1" fillId="8" borderId="0" xfId="0" applyFont="1" applyFill="1" applyAlignment="1">
      <alignment horizontal="center" vertical="center"/>
    </xf>
    <xf numFmtId="1" fontId="1" fillId="8" borderId="28" xfId="0" applyNumberFormat="1" applyFont="1" applyFill="1" applyBorder="1" applyAlignment="1">
      <alignment horizontal="center" vertical="center"/>
    </xf>
    <xf numFmtId="2" fontId="1" fillId="8" borderId="0" xfId="0" applyNumberFormat="1" applyFont="1" applyFill="1" applyAlignment="1">
      <alignment horizontal="center"/>
    </xf>
    <xf numFmtId="164" fontId="1" fillId="8" borderId="0" xfId="1" applyNumberFormat="1" applyFont="1" applyFill="1" applyAlignment="1">
      <alignment horizontal="center"/>
    </xf>
    <xf numFmtId="1" fontId="1" fillId="8" borderId="28" xfId="0" applyNumberFormat="1" applyFont="1" applyFill="1" applyBorder="1" applyAlignment="1">
      <alignment horizontal="center"/>
    </xf>
    <xf numFmtId="1" fontId="1" fillId="9" borderId="28" xfId="0" quotePrefix="1" applyNumberFormat="1" applyFont="1" applyFill="1" applyBorder="1" applyAlignment="1">
      <alignment horizontal="center" vertical="center"/>
    </xf>
    <xf numFmtId="0" fontId="1" fillId="8" borderId="9" xfId="0" applyFont="1" applyFill="1" applyBorder="1"/>
    <xf numFmtId="0" fontId="1" fillId="8" borderId="0" xfId="0" applyFont="1" applyFill="1"/>
    <xf numFmtId="2" fontId="1" fillId="8" borderId="2" xfId="0" applyNumberFormat="1" applyFont="1" applyFill="1" applyBorder="1" applyAlignment="1">
      <alignment horizontal="center" vertical="center"/>
    </xf>
    <xf numFmtId="164" fontId="1" fillId="8" borderId="2" xfId="1" applyNumberFormat="1" applyFont="1" applyFill="1" applyBorder="1" applyAlignment="1">
      <alignment horizontal="center" vertical="center"/>
    </xf>
    <xf numFmtId="1" fontId="1" fillId="8" borderId="29"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8" fillId="8" borderId="3"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4" xfId="0" applyFont="1" applyFill="1" applyBorder="1" applyAlignment="1">
      <alignment horizontal="center" vertical="center"/>
    </xf>
    <xf numFmtId="0" fontId="1" fillId="8" borderId="9" xfId="0" applyFont="1" applyFill="1" applyBorder="1" applyAlignment="1">
      <alignment horizontal="left" vertical="center"/>
    </xf>
    <xf numFmtId="0" fontId="1" fillId="8" borderId="0" xfId="0" applyFont="1" applyFill="1" applyAlignment="1">
      <alignment horizontal="left" vertical="center"/>
    </xf>
    <xf numFmtId="0" fontId="1" fillId="9" borderId="9" xfId="0" applyFont="1" applyFill="1" applyBorder="1" applyAlignment="1">
      <alignment horizontal="left" vertical="center"/>
    </xf>
    <xf numFmtId="0" fontId="1" fillId="9" borderId="0" xfId="0" applyFont="1" applyFill="1" applyAlignment="1">
      <alignment horizontal="left" vertical="center"/>
    </xf>
    <xf numFmtId="0" fontId="1" fillId="8" borderId="9" xfId="0" applyFont="1" applyFill="1" applyBorder="1" applyAlignment="1">
      <alignment horizontal="left"/>
    </xf>
    <xf numFmtId="0" fontId="1" fillId="8" borderId="0" xfId="0" applyFont="1" applyFill="1" applyAlignment="1">
      <alignment horizontal="left"/>
    </xf>
    <xf numFmtId="0" fontId="1" fillId="8" borderId="5" xfId="0" applyFont="1" applyFill="1" applyBorder="1" applyAlignment="1">
      <alignment horizontal="left"/>
    </xf>
    <xf numFmtId="0" fontId="1" fillId="8" borderId="2" xfId="0" applyFont="1" applyFill="1" applyBorder="1" applyAlignment="1">
      <alignment horizontal="left"/>
    </xf>
    <xf numFmtId="0" fontId="1" fillId="9" borderId="9" xfId="0" applyFont="1" applyFill="1" applyBorder="1" applyAlignment="1">
      <alignment horizontal="left"/>
    </xf>
    <xf numFmtId="0" fontId="1" fillId="9" borderId="0" xfId="0" applyFont="1" applyFill="1" applyAlignment="1">
      <alignment horizontal="left"/>
    </xf>
    <xf numFmtId="0" fontId="10" fillId="0" borderId="1" xfId="0" applyFont="1" applyBorder="1" applyAlignment="1">
      <alignment horizontal="center" vertical="center"/>
    </xf>
    <xf numFmtId="0" fontId="10" fillId="0" borderId="1" xfId="0" applyFont="1" applyBorder="1" applyAlignment="1">
      <alignment horizont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8" fillId="7" borderId="3" xfId="0" applyFont="1" applyFill="1" applyBorder="1" applyAlignment="1">
      <alignment horizontal="center" vertical="center"/>
    </xf>
    <xf numFmtId="0" fontId="8" fillId="7" borderId="1" xfId="0" applyFont="1" applyFill="1" applyBorder="1" applyAlignment="1">
      <alignment horizontal="center" vertical="center"/>
    </xf>
    <xf numFmtId="0" fontId="8" fillId="0" borderId="0" xfId="0" applyFont="1" applyAlignment="1">
      <alignment horizontal="center" vertical="center"/>
    </xf>
    <xf numFmtId="0" fontId="12"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left" wrapText="1"/>
    </xf>
    <xf numFmtId="0" fontId="1" fillId="0" borderId="0" xfId="0" applyFont="1" applyAlignment="1">
      <alignment horizontal="left" vertical="center"/>
    </xf>
    <xf numFmtId="0" fontId="1" fillId="0" borderId="0" xfId="0" applyFont="1" applyAlignment="1">
      <alignment horizontal="center"/>
    </xf>
    <xf numFmtId="0" fontId="1" fillId="7" borderId="14" xfId="0" applyFont="1" applyFill="1" applyBorder="1" applyAlignment="1">
      <alignment horizontal="left" vertical="center"/>
    </xf>
    <xf numFmtId="0" fontId="1" fillId="7" borderId="0" xfId="0" applyFont="1" applyFill="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left" vertical="center"/>
    </xf>
    <xf numFmtId="0" fontId="1" fillId="7" borderId="15" xfId="0" applyFont="1" applyFill="1" applyBorder="1" applyAlignment="1">
      <alignment horizontal="left" vertical="center"/>
    </xf>
    <xf numFmtId="0" fontId="1" fillId="7" borderId="16" xfId="0" applyFont="1" applyFill="1" applyBorder="1" applyAlignment="1">
      <alignment horizontal="left" vertical="center"/>
    </xf>
    <xf numFmtId="0" fontId="1" fillId="0" borderId="0" xfId="0" applyFont="1" applyAlignment="1">
      <alignment horizontal="center" vertical="center"/>
    </xf>
    <xf numFmtId="0" fontId="1" fillId="3" borderId="14" xfId="0" applyFont="1" applyFill="1" applyBorder="1" applyAlignment="1">
      <alignment horizontal="left"/>
    </xf>
    <xf numFmtId="0" fontId="1" fillId="3" borderId="0" xfId="0" applyFont="1" applyFill="1" applyAlignment="1">
      <alignment horizontal="left"/>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1" fillId="5" borderId="14" xfId="0" applyFont="1" applyFill="1" applyBorder="1" applyAlignment="1">
      <alignment horizontal="left" vertical="center"/>
    </xf>
    <xf numFmtId="0" fontId="1" fillId="5" borderId="0" xfId="0" applyFont="1" applyFill="1" applyAlignment="1">
      <alignment horizontal="left" vertical="center"/>
    </xf>
    <xf numFmtId="0" fontId="1" fillId="6" borderId="11" xfId="0" applyFont="1" applyFill="1" applyBorder="1" applyAlignment="1">
      <alignment horizontal="left" vertical="center"/>
    </xf>
    <xf numFmtId="0" fontId="1" fillId="6" borderId="12" xfId="0" applyFont="1" applyFill="1" applyBorder="1" applyAlignment="1">
      <alignment horizontal="left" vertical="center"/>
    </xf>
    <xf numFmtId="0" fontId="1" fillId="5" borderId="15" xfId="0" applyFont="1" applyFill="1" applyBorder="1" applyAlignment="1">
      <alignment horizontal="left" vertical="center"/>
    </xf>
    <xf numFmtId="0" fontId="1" fillId="5" borderId="16" xfId="0" applyFont="1" applyFill="1" applyBorder="1" applyAlignment="1">
      <alignment horizontal="left" vertical="center"/>
    </xf>
    <xf numFmtId="0" fontId="1" fillId="6" borderId="14" xfId="0" applyFont="1" applyFill="1" applyBorder="1" applyAlignment="1">
      <alignment horizontal="left"/>
    </xf>
    <xf numFmtId="0" fontId="1" fillId="6" borderId="0" xfId="0" applyFont="1" applyFill="1" applyAlignment="1">
      <alignment horizontal="left"/>
    </xf>
    <xf numFmtId="0" fontId="10" fillId="0" borderId="0" xfId="0" applyFont="1" applyAlignment="1">
      <alignment horizontal="center" vertical="center"/>
    </xf>
    <xf numFmtId="0" fontId="10" fillId="0" borderId="0" xfId="0" applyFont="1" applyAlignment="1">
      <alignment horizontal="center"/>
    </xf>
    <xf numFmtId="0" fontId="5" fillId="0" borderId="3" xfId="0" applyFont="1" applyBorder="1" applyAlignment="1">
      <alignment horizontal="center" vertical="center"/>
    </xf>
    <xf numFmtId="0" fontId="5" fillId="0" borderId="1" xfId="0" applyFont="1" applyBorder="1" applyAlignment="1">
      <alignment horizontal="center" vertical="center"/>
    </xf>
  </cellXfs>
  <cellStyles count="6">
    <cellStyle name="20% - Accent4" xfId="5" builtinId="42"/>
    <cellStyle name="60% - Accent1" xfId="2" builtinId="32"/>
    <cellStyle name="Comma" xfId="3" builtinId="3"/>
    <cellStyle name="Currency" xfId="1" builtinId="4"/>
    <cellStyle name="Normal" xfId="0" builtinId="0"/>
    <cellStyle name="Percent" xfId="4"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0"/>
  <sheetViews>
    <sheetView tabSelected="1" zoomScaleNormal="100" workbookViewId="0">
      <selection activeCell="D28" sqref="D28"/>
    </sheetView>
  </sheetViews>
  <sheetFormatPr defaultColWidth="11" defaultRowHeight="15.75" x14ac:dyDescent="0.25"/>
  <cols>
    <col min="1" max="1" width="4.625" customWidth="1"/>
    <col min="2" max="2" width="21.5" bestFit="1" customWidth="1"/>
    <col min="3" max="12" width="11.125" customWidth="1"/>
    <col min="13" max="13" width="13" customWidth="1"/>
    <col min="14" max="17" width="11.125" customWidth="1"/>
  </cols>
  <sheetData>
    <row r="1" spans="1:23" ht="19.5" thickBot="1" x14ac:dyDescent="0.3">
      <c r="A1" s="238" t="s">
        <v>0</v>
      </c>
      <c r="B1" s="239"/>
      <c r="C1" s="239"/>
      <c r="D1" s="239"/>
      <c r="E1" s="239"/>
      <c r="F1" s="239"/>
      <c r="G1" s="239"/>
      <c r="H1" s="239"/>
      <c r="I1" s="239"/>
      <c r="J1" s="239"/>
      <c r="K1" s="239"/>
      <c r="L1" s="239"/>
      <c r="M1" s="239"/>
      <c r="N1" s="239"/>
      <c r="O1" s="239"/>
      <c r="P1" s="239"/>
      <c r="Q1" s="239"/>
    </row>
    <row r="2" spans="1:23" s="2" customFormat="1" ht="60.75" thickBot="1" x14ac:dyDescent="0.3">
      <c r="A2" s="257" t="s">
        <v>1</v>
      </c>
      <c r="B2" s="258"/>
      <c r="C2" s="30" t="s">
        <v>2</v>
      </c>
      <c r="D2" s="30" t="s">
        <v>3</v>
      </c>
      <c r="E2" s="30" t="s">
        <v>4</v>
      </c>
      <c r="F2" s="30" t="s">
        <v>5</v>
      </c>
      <c r="G2" s="30" t="s">
        <v>6</v>
      </c>
      <c r="H2" s="30" t="s">
        <v>7</v>
      </c>
      <c r="I2" s="30" t="s">
        <v>8</v>
      </c>
      <c r="J2" s="30" t="s">
        <v>9</v>
      </c>
      <c r="K2" s="30" t="s">
        <v>10</v>
      </c>
      <c r="L2" s="30" t="s">
        <v>11</v>
      </c>
      <c r="M2" s="30" t="s">
        <v>12</v>
      </c>
      <c r="N2" s="30" t="s">
        <v>13</v>
      </c>
      <c r="O2" s="31" t="s">
        <v>14</v>
      </c>
      <c r="P2" s="31" t="s">
        <v>15</v>
      </c>
      <c r="Q2" s="32" t="s">
        <v>16</v>
      </c>
    </row>
    <row r="3" spans="1:23" s="3" customFormat="1" thickTop="1" x14ac:dyDescent="0.25">
      <c r="A3" s="41">
        <v>1</v>
      </c>
      <c r="B3" s="38" t="s">
        <v>17</v>
      </c>
      <c r="C3" s="37">
        <v>3.37</v>
      </c>
      <c r="D3" s="37">
        <v>3.37</v>
      </c>
      <c r="E3" s="37" t="s">
        <v>18</v>
      </c>
      <c r="F3" s="42">
        <v>58</v>
      </c>
      <c r="G3" s="43">
        <v>3</v>
      </c>
      <c r="H3" s="42">
        <v>1</v>
      </c>
      <c r="I3" s="44">
        <f>H3/G3</f>
        <v>0.33333333333333331</v>
      </c>
      <c r="J3" s="45">
        <v>834</v>
      </c>
      <c r="K3" s="37">
        <f>J3/F3</f>
        <v>14.379310344827585</v>
      </c>
      <c r="L3" s="46">
        <v>4509</v>
      </c>
      <c r="M3" s="47">
        <f>L3/F3</f>
        <v>77.741379310344826</v>
      </c>
      <c r="N3" s="48">
        <v>1024</v>
      </c>
      <c r="O3" s="38">
        <v>6</v>
      </c>
      <c r="P3" s="38">
        <v>12</v>
      </c>
      <c r="Q3" s="49">
        <v>8</v>
      </c>
      <c r="R3" s="50"/>
      <c r="S3" s="50"/>
      <c r="T3" s="50"/>
      <c r="U3" s="50"/>
      <c r="V3" s="50"/>
      <c r="W3" s="50"/>
    </row>
    <row r="4" spans="1:23" s="3" customFormat="1" ht="15" x14ac:dyDescent="0.25">
      <c r="A4" s="41">
        <v>2</v>
      </c>
      <c r="B4" s="38" t="s">
        <v>19</v>
      </c>
      <c r="C4" s="37">
        <v>3.28</v>
      </c>
      <c r="D4" s="37">
        <v>3.29</v>
      </c>
      <c r="E4" s="37">
        <v>3.22</v>
      </c>
      <c r="F4" s="38">
        <v>116</v>
      </c>
      <c r="G4" s="43">
        <v>14</v>
      </c>
      <c r="H4" s="42">
        <v>14</v>
      </c>
      <c r="I4" s="44">
        <f>H4/G4</f>
        <v>1</v>
      </c>
      <c r="J4" s="45">
        <v>1292</v>
      </c>
      <c r="K4" s="37">
        <f>J4/F4</f>
        <v>11.137931034482758</v>
      </c>
      <c r="L4" s="47">
        <v>5263.5</v>
      </c>
      <c r="M4" s="47">
        <f>L4/F4</f>
        <v>45.375</v>
      </c>
      <c r="N4" s="51">
        <v>0</v>
      </c>
      <c r="O4" s="38">
        <v>0</v>
      </c>
      <c r="P4" s="38">
        <v>21</v>
      </c>
      <c r="Q4" s="49">
        <v>16</v>
      </c>
      <c r="R4" s="50"/>
      <c r="S4" s="50"/>
      <c r="T4" s="50"/>
      <c r="U4" s="50"/>
      <c r="V4" s="50"/>
      <c r="W4" s="50"/>
    </row>
    <row r="5" spans="1:23" s="3" customFormat="1" ht="15" x14ac:dyDescent="0.25">
      <c r="A5" s="41">
        <v>4</v>
      </c>
      <c r="B5" s="20" t="s">
        <v>20</v>
      </c>
      <c r="C5" s="37">
        <v>3.28</v>
      </c>
      <c r="D5" s="37">
        <v>3.33</v>
      </c>
      <c r="E5" s="37" t="s">
        <v>18</v>
      </c>
      <c r="F5" s="42">
        <v>24</v>
      </c>
      <c r="G5" s="43">
        <v>3</v>
      </c>
      <c r="H5" s="42">
        <v>3</v>
      </c>
      <c r="I5" s="44">
        <f>H5/G5</f>
        <v>1</v>
      </c>
      <c r="J5" s="45">
        <v>172</v>
      </c>
      <c r="K5" s="37">
        <f>J5/F5</f>
        <v>7.166666666666667</v>
      </c>
      <c r="L5" s="47">
        <v>118</v>
      </c>
      <c r="M5" s="47">
        <f>L5/F5</f>
        <v>4.916666666666667</v>
      </c>
      <c r="N5" s="51">
        <v>0</v>
      </c>
      <c r="O5" s="38">
        <v>1</v>
      </c>
      <c r="P5" s="38">
        <v>5</v>
      </c>
      <c r="Q5" s="49">
        <v>2</v>
      </c>
      <c r="R5" s="50"/>
      <c r="S5" s="50"/>
      <c r="T5" s="50"/>
      <c r="U5" s="50"/>
      <c r="V5" s="50"/>
      <c r="W5" s="50"/>
    </row>
    <row r="6" spans="1:23" s="3" customFormat="1" ht="15" x14ac:dyDescent="0.25">
      <c r="A6" s="52"/>
      <c r="B6" s="21" t="s">
        <v>21</v>
      </c>
      <c r="C6" s="22">
        <v>3.27</v>
      </c>
      <c r="D6" s="53"/>
      <c r="E6" s="53"/>
      <c r="F6" s="54"/>
      <c r="G6" s="55"/>
      <c r="H6" s="55"/>
      <c r="I6" s="55"/>
      <c r="J6" s="56"/>
      <c r="K6" s="57"/>
      <c r="L6" s="57"/>
      <c r="M6" s="57"/>
      <c r="N6" s="58"/>
      <c r="O6" s="54"/>
      <c r="P6" s="54"/>
      <c r="Q6" s="59"/>
      <c r="R6" s="50"/>
      <c r="S6" s="50"/>
      <c r="T6" s="50"/>
      <c r="U6" s="50"/>
      <c r="V6" s="50"/>
      <c r="W6" s="50"/>
    </row>
    <row r="7" spans="1:23" s="3" customFormat="1" ht="15" x14ac:dyDescent="0.25">
      <c r="A7" s="41">
        <v>3</v>
      </c>
      <c r="B7" s="38" t="s">
        <v>22</v>
      </c>
      <c r="C7" s="37">
        <v>3.23</v>
      </c>
      <c r="D7" s="18">
        <v>3.26</v>
      </c>
      <c r="E7" s="37" t="s">
        <v>18</v>
      </c>
      <c r="F7" s="38">
        <v>19</v>
      </c>
      <c r="G7" s="43">
        <v>4</v>
      </c>
      <c r="H7" s="42">
        <v>2</v>
      </c>
      <c r="I7" s="44">
        <f>H7/G7</f>
        <v>0.5</v>
      </c>
      <c r="J7" s="60">
        <v>16</v>
      </c>
      <c r="K7" s="37">
        <f>J7/F7</f>
        <v>0.84210526315789469</v>
      </c>
      <c r="L7" s="47">
        <v>1433.38</v>
      </c>
      <c r="M7" s="47">
        <f>L7/F7</f>
        <v>75.441052631578955</v>
      </c>
      <c r="N7" s="51">
        <v>0</v>
      </c>
      <c r="O7" s="38">
        <v>1</v>
      </c>
      <c r="P7" s="38">
        <v>11</v>
      </c>
      <c r="Q7" s="49">
        <v>3</v>
      </c>
      <c r="R7" s="50"/>
      <c r="S7" s="50"/>
      <c r="T7" s="50"/>
      <c r="U7" s="50"/>
      <c r="V7" s="50"/>
      <c r="W7" s="50"/>
    </row>
    <row r="8" spans="1:23" s="3" customFormat="1" ht="15" x14ac:dyDescent="0.25">
      <c r="A8" s="52"/>
      <c r="B8" s="21" t="s">
        <v>23</v>
      </c>
      <c r="C8" s="22">
        <v>3.22</v>
      </c>
      <c r="D8" s="53"/>
      <c r="E8" s="53"/>
      <c r="F8" s="22"/>
      <c r="G8" s="55"/>
      <c r="H8" s="55"/>
      <c r="I8" s="55"/>
      <c r="J8" s="56"/>
      <c r="K8" s="57"/>
      <c r="L8" s="57"/>
      <c r="M8" s="57"/>
      <c r="N8" s="58"/>
      <c r="O8" s="54"/>
      <c r="P8" s="54"/>
      <c r="Q8" s="59"/>
      <c r="R8" s="50"/>
      <c r="S8" s="50"/>
      <c r="T8" s="50"/>
      <c r="U8" s="50"/>
      <c r="V8" s="50"/>
      <c r="W8" s="50"/>
    </row>
    <row r="9" spans="1:23" s="3" customFormat="1" ht="15" x14ac:dyDescent="0.25">
      <c r="A9" s="52"/>
      <c r="B9" s="21" t="s">
        <v>24</v>
      </c>
      <c r="C9" s="22">
        <v>3.14</v>
      </c>
      <c r="D9" s="53"/>
      <c r="E9" s="53"/>
      <c r="F9" s="54"/>
      <c r="G9" s="55"/>
      <c r="H9" s="55"/>
      <c r="I9" s="55"/>
      <c r="J9" s="56"/>
      <c r="K9" s="57"/>
      <c r="L9" s="57"/>
      <c r="M9" s="57"/>
      <c r="N9" s="58"/>
      <c r="O9" s="54"/>
      <c r="P9" s="54"/>
      <c r="Q9" s="59"/>
      <c r="R9" s="50"/>
      <c r="S9" s="50"/>
      <c r="T9" s="50"/>
      <c r="U9" s="50"/>
      <c r="V9" s="50"/>
      <c r="W9" s="50"/>
    </row>
    <row r="10" spans="1:23" s="3" customFormat="1" ht="15" x14ac:dyDescent="0.25">
      <c r="A10" s="41">
        <v>5</v>
      </c>
      <c r="B10" s="38" t="s">
        <v>25</v>
      </c>
      <c r="C10" s="37">
        <v>3.12</v>
      </c>
      <c r="D10" s="37">
        <v>3.12</v>
      </c>
      <c r="E10" s="43" t="s">
        <v>18</v>
      </c>
      <c r="F10" s="42">
        <v>103</v>
      </c>
      <c r="G10" s="43">
        <v>5</v>
      </c>
      <c r="H10" s="42">
        <v>3</v>
      </c>
      <c r="I10" s="44">
        <f>H10/G10</f>
        <v>0.6</v>
      </c>
      <c r="J10" s="45">
        <v>935</v>
      </c>
      <c r="K10" s="37">
        <f>J10/F10</f>
        <v>9.0776699029126213</v>
      </c>
      <c r="L10" s="47">
        <v>8823</v>
      </c>
      <c r="M10" s="47">
        <f>L10/F10</f>
        <v>85.660194174757279</v>
      </c>
      <c r="N10" s="51">
        <v>0</v>
      </c>
      <c r="O10" s="38">
        <v>6</v>
      </c>
      <c r="P10" s="38">
        <v>23</v>
      </c>
      <c r="Q10" s="14">
        <v>8</v>
      </c>
      <c r="R10" s="50"/>
      <c r="S10" s="50"/>
      <c r="T10" s="50"/>
      <c r="U10" s="50"/>
      <c r="V10" s="50"/>
      <c r="W10" s="50"/>
    </row>
    <row r="11" spans="1:23" s="3" customFormat="1" ht="15" x14ac:dyDescent="0.25">
      <c r="A11" s="41">
        <v>6</v>
      </c>
      <c r="B11" s="38" t="s">
        <v>26</v>
      </c>
      <c r="C11" s="37">
        <v>3.12</v>
      </c>
      <c r="D11" s="37">
        <v>3.11</v>
      </c>
      <c r="E11" s="37">
        <v>3.17</v>
      </c>
      <c r="F11" s="42">
        <v>62</v>
      </c>
      <c r="G11" s="43">
        <v>6</v>
      </c>
      <c r="H11" s="42">
        <v>6</v>
      </c>
      <c r="I11" s="44">
        <f>H11/G11</f>
        <v>1</v>
      </c>
      <c r="J11" s="45">
        <v>183.5</v>
      </c>
      <c r="K11" s="37">
        <f>J11/F11</f>
        <v>2.9596774193548385</v>
      </c>
      <c r="L11" s="46">
        <v>1356.5</v>
      </c>
      <c r="M11" s="47">
        <f>L11/F11</f>
        <v>21.879032258064516</v>
      </c>
      <c r="N11" s="48">
        <v>0</v>
      </c>
      <c r="O11" s="38">
        <v>1</v>
      </c>
      <c r="P11" s="38">
        <v>5</v>
      </c>
      <c r="Q11" s="49">
        <v>10</v>
      </c>
      <c r="R11" s="50"/>
      <c r="S11" s="50"/>
      <c r="T11" s="50"/>
      <c r="U11" s="50"/>
      <c r="V11" s="50"/>
      <c r="W11" s="50"/>
    </row>
    <row r="12" spans="1:23" s="3" customFormat="1" ht="15" x14ac:dyDescent="0.25">
      <c r="A12" s="52"/>
      <c r="B12" s="21" t="s">
        <v>27</v>
      </c>
      <c r="C12" s="22">
        <v>3.11</v>
      </c>
      <c r="D12" s="53"/>
      <c r="E12" s="53"/>
      <c r="F12" s="54"/>
      <c r="G12" s="55"/>
      <c r="H12" s="55"/>
      <c r="I12" s="55"/>
      <c r="J12" s="56"/>
      <c r="K12" s="57"/>
      <c r="L12" s="57"/>
      <c r="M12" s="57"/>
      <c r="N12" s="58"/>
      <c r="O12" s="54"/>
      <c r="P12" s="54"/>
      <c r="Q12" s="61"/>
      <c r="R12" s="50"/>
      <c r="S12" s="50"/>
      <c r="T12" s="50"/>
      <c r="U12" s="50"/>
      <c r="V12" s="50"/>
      <c r="W12" s="50"/>
    </row>
    <row r="13" spans="1:23" s="3" customFormat="1" ht="15" x14ac:dyDescent="0.25">
      <c r="A13" s="52"/>
      <c r="B13" s="21" t="s">
        <v>28</v>
      </c>
      <c r="C13" s="22">
        <v>3.1</v>
      </c>
      <c r="D13" s="53"/>
      <c r="E13" s="53"/>
      <c r="F13" s="54"/>
      <c r="G13" s="55"/>
      <c r="H13" s="55"/>
      <c r="I13" s="55"/>
      <c r="J13" s="56"/>
      <c r="K13" s="57"/>
      <c r="L13" s="57"/>
      <c r="M13" s="57"/>
      <c r="N13" s="58"/>
      <c r="O13" s="54"/>
      <c r="P13" s="54"/>
      <c r="Q13" s="61"/>
      <c r="R13" s="50"/>
      <c r="S13" s="50"/>
      <c r="T13" s="50"/>
      <c r="U13" s="50"/>
      <c r="V13" s="50"/>
      <c r="W13" s="50"/>
    </row>
    <row r="14" spans="1:23" s="3" customFormat="1" ht="15" x14ac:dyDescent="0.25">
      <c r="A14" s="41">
        <v>9</v>
      </c>
      <c r="B14" s="38" t="s">
        <v>29</v>
      </c>
      <c r="C14" s="37">
        <v>3.09</v>
      </c>
      <c r="D14" s="37">
        <v>3.11</v>
      </c>
      <c r="E14" s="37" t="s">
        <v>18</v>
      </c>
      <c r="F14" s="42">
        <v>112</v>
      </c>
      <c r="G14" s="43">
        <v>5</v>
      </c>
      <c r="H14" s="18">
        <v>4</v>
      </c>
      <c r="I14" s="44">
        <f t="shared" ref="I14:I21" si="0">H14/G14</f>
        <v>0.8</v>
      </c>
      <c r="J14" s="45">
        <v>148</v>
      </c>
      <c r="K14" s="37">
        <f t="shared" ref="K14:K21" si="1">J14/F14</f>
        <v>1.3214285714285714</v>
      </c>
      <c r="L14" s="47">
        <v>1860</v>
      </c>
      <c r="M14" s="47">
        <f t="shared" ref="M14:M21" si="2">L14/F14</f>
        <v>16.607142857142858</v>
      </c>
      <c r="N14" s="51">
        <v>0</v>
      </c>
      <c r="O14" s="38">
        <v>1</v>
      </c>
      <c r="P14" s="38">
        <v>14</v>
      </c>
      <c r="Q14" s="49">
        <v>5</v>
      </c>
      <c r="R14" s="50"/>
      <c r="S14" s="50"/>
      <c r="T14" s="50"/>
      <c r="U14" s="50"/>
      <c r="V14" s="50"/>
      <c r="W14" s="50"/>
    </row>
    <row r="15" spans="1:23" s="3" customFormat="1" ht="15" x14ac:dyDescent="0.25">
      <c r="A15" s="41">
        <v>7</v>
      </c>
      <c r="B15" s="38" t="s">
        <v>30</v>
      </c>
      <c r="C15" s="37">
        <v>3.08</v>
      </c>
      <c r="D15" s="18">
        <v>3.14</v>
      </c>
      <c r="E15" s="37" t="s">
        <v>18</v>
      </c>
      <c r="F15" s="18">
        <v>35</v>
      </c>
      <c r="G15" s="43">
        <v>6</v>
      </c>
      <c r="H15" s="42">
        <v>2</v>
      </c>
      <c r="I15" s="44">
        <f t="shared" si="0"/>
        <v>0.33333333333333331</v>
      </c>
      <c r="J15" s="45">
        <v>70.5</v>
      </c>
      <c r="K15" s="37">
        <f t="shared" si="1"/>
        <v>2.0142857142857142</v>
      </c>
      <c r="L15" s="47">
        <v>0</v>
      </c>
      <c r="M15" s="47">
        <f t="shared" si="2"/>
        <v>0</v>
      </c>
      <c r="N15" s="51">
        <v>0</v>
      </c>
      <c r="O15" s="38">
        <v>2</v>
      </c>
      <c r="P15" s="38">
        <v>8</v>
      </c>
      <c r="Q15" s="49">
        <v>1</v>
      </c>
      <c r="R15" s="50"/>
      <c r="S15" s="50"/>
      <c r="T15" s="50"/>
      <c r="U15" s="50"/>
      <c r="V15" s="50"/>
      <c r="W15" s="50"/>
    </row>
    <row r="16" spans="1:23" s="3" customFormat="1" ht="15" x14ac:dyDescent="0.25">
      <c r="A16" s="41">
        <v>8</v>
      </c>
      <c r="B16" s="38" t="s">
        <v>31</v>
      </c>
      <c r="C16" s="37">
        <v>3.06</v>
      </c>
      <c r="D16" s="37">
        <v>3.1</v>
      </c>
      <c r="E16" s="37" t="s">
        <v>18</v>
      </c>
      <c r="F16" s="42">
        <v>15</v>
      </c>
      <c r="G16" s="43">
        <v>1</v>
      </c>
      <c r="H16" s="42">
        <v>1</v>
      </c>
      <c r="I16" s="44">
        <f t="shared" si="0"/>
        <v>1</v>
      </c>
      <c r="J16" s="45">
        <v>36</v>
      </c>
      <c r="K16" s="37">
        <f t="shared" si="1"/>
        <v>2.4</v>
      </c>
      <c r="L16" s="46">
        <v>0</v>
      </c>
      <c r="M16" s="47">
        <f t="shared" si="2"/>
        <v>0</v>
      </c>
      <c r="N16" s="48">
        <v>0</v>
      </c>
      <c r="O16" s="38">
        <v>0</v>
      </c>
      <c r="P16" s="38">
        <v>6</v>
      </c>
      <c r="Q16" s="49">
        <v>1</v>
      </c>
      <c r="R16" s="50"/>
      <c r="S16" s="50"/>
      <c r="T16" s="50"/>
      <c r="U16" s="50"/>
      <c r="V16" s="50"/>
      <c r="W16" s="50"/>
    </row>
    <row r="17" spans="1:23" s="3" customFormat="1" ht="15" x14ac:dyDescent="0.25">
      <c r="A17" s="41">
        <v>12</v>
      </c>
      <c r="B17" s="38" t="s">
        <v>32</v>
      </c>
      <c r="C17" s="37">
        <v>3.01</v>
      </c>
      <c r="D17" s="37">
        <v>3.03</v>
      </c>
      <c r="E17" s="37">
        <v>2.78</v>
      </c>
      <c r="F17" s="43">
        <v>86</v>
      </c>
      <c r="G17" s="43">
        <v>12</v>
      </c>
      <c r="H17" s="42">
        <v>9</v>
      </c>
      <c r="I17" s="44">
        <f t="shared" si="0"/>
        <v>0.75</v>
      </c>
      <c r="J17" s="45">
        <v>387.5</v>
      </c>
      <c r="K17" s="37">
        <f t="shared" si="1"/>
        <v>4.5058139534883717</v>
      </c>
      <c r="L17" s="47">
        <v>1334</v>
      </c>
      <c r="M17" s="47">
        <f t="shared" si="2"/>
        <v>15.511627906976743</v>
      </c>
      <c r="N17" s="51">
        <v>0</v>
      </c>
      <c r="O17" s="38">
        <v>6</v>
      </c>
      <c r="P17" s="38">
        <v>16</v>
      </c>
      <c r="Q17" s="49">
        <v>7</v>
      </c>
      <c r="R17" s="50"/>
      <c r="S17" s="50"/>
      <c r="T17" s="50"/>
      <c r="U17" s="50"/>
      <c r="V17" s="50"/>
      <c r="W17" s="50"/>
    </row>
    <row r="18" spans="1:23" s="3" customFormat="1" ht="15" x14ac:dyDescent="0.25">
      <c r="A18" s="41">
        <v>10</v>
      </c>
      <c r="B18" s="38" t="s">
        <v>33</v>
      </c>
      <c r="C18" s="37">
        <v>3</v>
      </c>
      <c r="D18" s="37">
        <v>3.06</v>
      </c>
      <c r="E18" s="37" t="s">
        <v>18</v>
      </c>
      <c r="F18" s="18">
        <v>62</v>
      </c>
      <c r="G18" s="43">
        <v>5</v>
      </c>
      <c r="H18" s="42">
        <v>4</v>
      </c>
      <c r="I18" s="44">
        <f t="shared" si="0"/>
        <v>0.8</v>
      </c>
      <c r="J18" s="45">
        <v>389</v>
      </c>
      <c r="K18" s="37">
        <f t="shared" si="1"/>
        <v>6.274193548387097</v>
      </c>
      <c r="L18" s="47">
        <v>955</v>
      </c>
      <c r="M18" s="47">
        <f t="shared" si="2"/>
        <v>15.403225806451612</v>
      </c>
      <c r="N18" s="51">
        <v>0</v>
      </c>
      <c r="O18" s="38">
        <v>13</v>
      </c>
      <c r="P18" s="38">
        <v>10</v>
      </c>
      <c r="Q18" s="49">
        <v>2</v>
      </c>
      <c r="R18" s="50"/>
      <c r="S18" s="50"/>
      <c r="T18" s="50"/>
      <c r="U18" s="50"/>
      <c r="V18" s="50"/>
      <c r="W18" s="50"/>
    </row>
    <row r="19" spans="1:23" s="3" customFormat="1" ht="15" x14ac:dyDescent="0.25">
      <c r="A19" s="41">
        <v>13</v>
      </c>
      <c r="B19" s="38" t="s">
        <v>34</v>
      </c>
      <c r="C19" s="37">
        <v>2.95</v>
      </c>
      <c r="D19" s="37">
        <v>2.95</v>
      </c>
      <c r="E19" s="37" t="s">
        <v>35</v>
      </c>
      <c r="F19" s="42">
        <v>46</v>
      </c>
      <c r="G19" s="43">
        <v>1</v>
      </c>
      <c r="H19" s="42">
        <v>0</v>
      </c>
      <c r="I19" s="44">
        <f t="shared" si="0"/>
        <v>0</v>
      </c>
      <c r="J19" s="45">
        <v>26</v>
      </c>
      <c r="K19" s="37">
        <f t="shared" si="1"/>
        <v>0.56521739130434778</v>
      </c>
      <c r="L19" s="47">
        <v>344</v>
      </c>
      <c r="M19" s="47">
        <f t="shared" si="2"/>
        <v>7.4782608695652177</v>
      </c>
      <c r="N19" s="51">
        <v>0</v>
      </c>
      <c r="O19" s="38">
        <v>3</v>
      </c>
      <c r="P19" s="38">
        <v>15</v>
      </c>
      <c r="Q19" s="49">
        <v>7</v>
      </c>
      <c r="R19" s="50"/>
      <c r="S19" s="50"/>
      <c r="T19" s="50"/>
      <c r="U19" s="50"/>
      <c r="V19" s="50"/>
      <c r="W19" s="50"/>
    </row>
    <row r="20" spans="1:23" s="3" customFormat="1" ht="15" x14ac:dyDescent="0.25">
      <c r="A20" s="41">
        <v>14</v>
      </c>
      <c r="B20" s="20" t="s">
        <v>36</v>
      </c>
      <c r="C20" s="37">
        <v>2.94</v>
      </c>
      <c r="D20" s="37">
        <v>2.82</v>
      </c>
      <c r="E20" s="37" t="s">
        <v>18</v>
      </c>
      <c r="F20" s="62">
        <v>19</v>
      </c>
      <c r="G20" s="43">
        <v>4</v>
      </c>
      <c r="H20" s="42">
        <v>4</v>
      </c>
      <c r="I20" s="44">
        <f t="shared" si="0"/>
        <v>1</v>
      </c>
      <c r="J20" s="45">
        <v>9</v>
      </c>
      <c r="K20" s="37">
        <f t="shared" si="1"/>
        <v>0.47368421052631576</v>
      </c>
      <c r="L20" s="46">
        <v>0</v>
      </c>
      <c r="M20" s="47">
        <f t="shared" si="2"/>
        <v>0</v>
      </c>
      <c r="N20" s="48">
        <v>0</v>
      </c>
      <c r="O20" s="38">
        <v>1</v>
      </c>
      <c r="P20" s="38">
        <v>13</v>
      </c>
      <c r="Q20" s="63">
        <v>0</v>
      </c>
      <c r="R20" s="50"/>
      <c r="S20" s="50"/>
      <c r="T20" s="50"/>
      <c r="U20" s="50"/>
      <c r="V20" s="50"/>
      <c r="W20" s="50"/>
    </row>
    <row r="21" spans="1:23" s="3" customFormat="1" ht="15" x14ac:dyDescent="0.25">
      <c r="A21" s="41">
        <v>11</v>
      </c>
      <c r="B21" s="38" t="s">
        <v>37</v>
      </c>
      <c r="C21" s="37">
        <v>2.93</v>
      </c>
      <c r="D21" s="37">
        <v>2.94</v>
      </c>
      <c r="E21" s="37" t="s">
        <v>18</v>
      </c>
      <c r="F21" s="38">
        <v>33</v>
      </c>
      <c r="G21" s="43">
        <v>2</v>
      </c>
      <c r="H21" s="42">
        <v>1</v>
      </c>
      <c r="I21" s="44">
        <f t="shared" si="0"/>
        <v>0.5</v>
      </c>
      <c r="J21" s="45">
        <v>10</v>
      </c>
      <c r="K21" s="37">
        <f t="shared" si="1"/>
        <v>0.30303030303030304</v>
      </c>
      <c r="L21" s="47">
        <v>9324</v>
      </c>
      <c r="M21" s="47">
        <f t="shared" si="2"/>
        <v>282.54545454545456</v>
      </c>
      <c r="N21" s="51">
        <v>0</v>
      </c>
      <c r="O21" s="38">
        <v>1</v>
      </c>
      <c r="P21" s="38">
        <v>8</v>
      </c>
      <c r="Q21" s="14">
        <v>1</v>
      </c>
      <c r="R21" s="50"/>
      <c r="S21" s="50"/>
      <c r="T21" s="50"/>
      <c r="U21" s="50"/>
      <c r="V21" s="50"/>
      <c r="W21" s="50"/>
    </row>
    <row r="22" spans="1:23" s="3" customFormat="1" ht="15" x14ac:dyDescent="0.25">
      <c r="A22" s="52"/>
      <c r="B22" s="21" t="s">
        <v>38</v>
      </c>
      <c r="C22" s="22">
        <v>2.75</v>
      </c>
      <c r="D22" s="53"/>
      <c r="E22" s="53"/>
      <c r="F22" s="53"/>
      <c r="G22" s="55"/>
      <c r="H22" s="55"/>
      <c r="I22" s="55"/>
      <c r="J22" s="64"/>
      <c r="K22" s="57"/>
      <c r="L22" s="57"/>
      <c r="M22" s="57"/>
      <c r="N22" s="58"/>
      <c r="O22" s="54"/>
      <c r="P22" s="54"/>
      <c r="Q22" s="59"/>
      <c r="R22" s="50"/>
      <c r="S22" s="50"/>
      <c r="T22" s="50"/>
      <c r="U22" s="50"/>
      <c r="V22" s="50"/>
      <c r="W22" s="50"/>
    </row>
    <row r="23" spans="1:23" s="3" customFormat="1" thickBot="1" x14ac:dyDescent="0.3">
      <c r="A23" s="41">
        <v>15</v>
      </c>
      <c r="B23" s="38" t="s">
        <v>39</v>
      </c>
      <c r="C23" s="37">
        <v>2.2200000000000002</v>
      </c>
      <c r="D23" s="37" t="s">
        <v>35</v>
      </c>
      <c r="E23" s="37">
        <v>2.2200000000000002</v>
      </c>
      <c r="F23" s="38">
        <v>7</v>
      </c>
      <c r="G23" s="43">
        <v>7</v>
      </c>
      <c r="H23" s="42">
        <v>7</v>
      </c>
      <c r="I23" s="65">
        <f>H23/G23</f>
        <v>1</v>
      </c>
      <c r="J23" s="66">
        <v>0</v>
      </c>
      <c r="K23" s="37">
        <f>J23/F23</f>
        <v>0</v>
      </c>
      <c r="L23" s="47">
        <v>0</v>
      </c>
      <c r="M23" s="47">
        <f>L23/F23</f>
        <v>0</v>
      </c>
      <c r="N23" s="51">
        <v>0</v>
      </c>
      <c r="O23" s="38">
        <v>0</v>
      </c>
      <c r="P23" s="38">
        <v>0</v>
      </c>
      <c r="Q23" s="14">
        <v>0</v>
      </c>
      <c r="R23" s="50"/>
      <c r="S23" s="50"/>
      <c r="T23" s="50"/>
      <c r="U23" s="50"/>
      <c r="V23" s="50"/>
      <c r="W23" s="50"/>
    </row>
    <row r="24" spans="1:23" s="3" customFormat="1" ht="15" x14ac:dyDescent="0.25">
      <c r="A24" s="248" t="s">
        <v>40</v>
      </c>
      <c r="B24" s="249"/>
      <c r="C24" s="67" t="s">
        <v>35</v>
      </c>
      <c r="D24" s="67" t="s">
        <v>35</v>
      </c>
      <c r="E24" s="68" t="s">
        <v>35</v>
      </c>
      <c r="F24" s="69">
        <f>SUM(F3:F23)</f>
        <v>797</v>
      </c>
      <c r="G24" s="69">
        <f t="shared" ref="G24:H24" si="3">SUM(G3:G23)</f>
        <v>78</v>
      </c>
      <c r="H24" s="69">
        <f t="shared" si="3"/>
        <v>61</v>
      </c>
      <c r="I24" s="70" t="s">
        <v>35</v>
      </c>
      <c r="J24" s="69">
        <f>SUM(J3:J23)</f>
        <v>4508.5</v>
      </c>
      <c r="K24" s="71" t="s">
        <v>35</v>
      </c>
      <c r="L24" s="72">
        <f>SUM(L3:L23)</f>
        <v>35320.380000000005</v>
      </c>
      <c r="M24" s="73" t="s">
        <v>35</v>
      </c>
      <c r="N24" s="74">
        <f>SUM(N3:N23)</f>
        <v>1024</v>
      </c>
      <c r="O24" s="75">
        <f>SUM(O3:O23)</f>
        <v>42</v>
      </c>
      <c r="P24" s="75">
        <f>SUM(P3:P23)</f>
        <v>167</v>
      </c>
      <c r="Q24" s="76">
        <f>SUM(Q3:Q23)</f>
        <v>71</v>
      </c>
      <c r="R24" s="50"/>
      <c r="S24" s="50"/>
      <c r="T24" s="50"/>
      <c r="U24" s="50"/>
      <c r="V24" s="50"/>
      <c r="W24" s="50"/>
    </row>
    <row r="25" spans="1:23" s="3" customFormat="1" ht="15" x14ac:dyDescent="0.25">
      <c r="A25" s="246" t="s">
        <v>41</v>
      </c>
      <c r="B25" s="247"/>
      <c r="C25" s="77">
        <v>3.11</v>
      </c>
      <c r="D25" s="77">
        <f>AVERAGE(D22:D23,D14:D20,D10:D11,D8,D5:D6,D3)</f>
        <v>3.1036363636363635</v>
      </c>
      <c r="E25" s="77">
        <f>AVERAGE(3.22,3.17,2.78,2.22)</f>
        <v>2.8475000000000001</v>
      </c>
      <c r="F25" s="78">
        <f>F24/15</f>
        <v>53.133333333333333</v>
      </c>
      <c r="G25" s="78">
        <f t="shared" ref="G25:H25" si="4">G24/15</f>
        <v>5.2</v>
      </c>
      <c r="H25" s="78">
        <f t="shared" si="4"/>
        <v>4.0666666666666664</v>
      </c>
      <c r="I25" s="79">
        <f>AVERAGE(I22:I23,I17:I20,I9:I13,I5:I7,I3)</f>
        <v>0.69833333333333325</v>
      </c>
      <c r="J25" s="80">
        <f>J24/15</f>
        <v>300.56666666666666</v>
      </c>
      <c r="K25" s="77">
        <f>AVERAGE(K3:K23)</f>
        <v>4.2280676215902053</v>
      </c>
      <c r="L25" s="81">
        <f>AVERAGE(L3:L23)</f>
        <v>2354.6920000000005</v>
      </c>
      <c r="M25" s="81">
        <f>AVERAGE(M3:M23)</f>
        <v>43.237269135133538</v>
      </c>
      <c r="N25" s="78">
        <f>N24/15</f>
        <v>68.266666666666666</v>
      </c>
      <c r="O25" s="78">
        <f t="shared" ref="O25:P25" si="5">O24/15</f>
        <v>2.8</v>
      </c>
      <c r="P25" s="78">
        <f t="shared" si="5"/>
        <v>11.133333333333333</v>
      </c>
      <c r="Q25" s="82">
        <f>Q24/15</f>
        <v>4.7333333333333334</v>
      </c>
      <c r="R25" s="50"/>
      <c r="S25" s="50"/>
      <c r="T25" s="50"/>
      <c r="U25" s="50"/>
      <c r="V25" s="50"/>
      <c r="W25" s="50"/>
    </row>
    <row r="26" spans="1:23" s="3" customFormat="1" ht="15" customHeight="1" x14ac:dyDescent="0.25">
      <c r="A26" s="255" t="s">
        <v>42</v>
      </c>
      <c r="B26" s="256"/>
      <c r="C26" s="83" t="s">
        <v>35</v>
      </c>
      <c r="D26" s="83" t="s">
        <v>35</v>
      </c>
      <c r="E26" s="83" t="s">
        <v>35</v>
      </c>
      <c r="F26" s="84">
        <f>SUM(F24+NPHC!F11,NPHC!F13,NPHC!F14)</f>
        <v>809</v>
      </c>
      <c r="G26" s="84">
        <f>SUM(G24+NPHC!G11,NPHC!G13,NPHC!G14)</f>
        <v>83</v>
      </c>
      <c r="H26" s="84">
        <f>SUM(H24+NPHC!H11,NPHC!H13,NPHC!H14)</f>
        <v>66</v>
      </c>
      <c r="I26" s="84" t="s">
        <v>35</v>
      </c>
      <c r="J26" s="84">
        <f>SUM(J24+NPHC!J11,NPHC!J13,NPHC!J14)</f>
        <v>4514.5</v>
      </c>
      <c r="K26" s="85" t="s">
        <v>35</v>
      </c>
      <c r="L26" s="86">
        <f>SUM(L24+NPHC!L11+NPHC!L13+NPHC!L14)</f>
        <v>35320.380000000005</v>
      </c>
      <c r="M26" s="86" t="s">
        <v>35</v>
      </c>
      <c r="N26" s="87">
        <f>SUM(N24+NPHC!N11+NPHC!N13+NPHC!N14)</f>
        <v>1024</v>
      </c>
      <c r="O26" s="87">
        <f>SUM(O24+NPHC!O11+NPHC!O13+NPHC!O14)</f>
        <v>50</v>
      </c>
      <c r="P26" s="87">
        <f>SUM(P24+NPHC!P11+NPHC!P13+NPHC!P14)</f>
        <v>190</v>
      </c>
      <c r="Q26" s="88">
        <f>SUM(Q24+NPHC!Q11)</f>
        <v>72</v>
      </c>
      <c r="R26" s="4"/>
      <c r="S26" s="50"/>
      <c r="T26" s="50"/>
      <c r="U26" s="50"/>
      <c r="V26" s="50"/>
      <c r="W26" s="50"/>
    </row>
    <row r="27" spans="1:23" s="3" customFormat="1" ht="15" customHeight="1" x14ac:dyDescent="0.25">
      <c r="A27" s="89" t="s">
        <v>43</v>
      </c>
      <c r="B27" s="90"/>
      <c r="C27" s="77">
        <v>3.1</v>
      </c>
      <c r="D27" s="77">
        <f>AVERAGE(D3:D5,D7,D10:D11,D14:D21,NPHC!C11)</f>
        <v>3.0846666666666667</v>
      </c>
      <c r="E27" s="77" t="s">
        <v>35</v>
      </c>
      <c r="F27" s="78">
        <f>F26/18</f>
        <v>44.944444444444443</v>
      </c>
      <c r="G27" s="78">
        <f t="shared" ref="G27:H27" si="6">G26/18</f>
        <v>4.6111111111111107</v>
      </c>
      <c r="H27" s="78">
        <f t="shared" si="6"/>
        <v>3.6666666666666665</v>
      </c>
      <c r="I27" s="79">
        <f>AVERAGE(I3,I5:I6,I8,I10:I11,I14:I20,I22:I23,NPHC!I11,NPHC!I14,NPHC!I13)</f>
        <v>0.75833333333333341</v>
      </c>
      <c r="J27" s="80">
        <f>J26/18</f>
        <v>250.80555555555554</v>
      </c>
      <c r="K27" s="77">
        <f>AVERAGE(K3:K23,NPHC!K11,NPHC!K13,NPHC!K14)</f>
        <v>3.5710087322775528</v>
      </c>
      <c r="L27" s="81">
        <f>L26/18</f>
        <v>1962.2433333333336</v>
      </c>
      <c r="M27" s="81">
        <f>AVERAGE(M3:M23,NPHC!M11,NPHC!M13,NPHC!M14)</f>
        <v>36.031057612611285</v>
      </c>
      <c r="N27" s="78">
        <f>N26/18</f>
        <v>56.888888888888886</v>
      </c>
      <c r="O27" s="78">
        <f t="shared" ref="O27:P27" si="7">O26/18</f>
        <v>2.7777777777777777</v>
      </c>
      <c r="P27" s="78">
        <f t="shared" si="7"/>
        <v>10.555555555555555</v>
      </c>
      <c r="Q27" s="82">
        <f>Q26/18</f>
        <v>4</v>
      </c>
      <c r="R27" s="4"/>
      <c r="S27" s="50"/>
      <c r="T27" s="50"/>
      <c r="U27" s="50"/>
      <c r="V27" s="50"/>
      <c r="W27" s="50"/>
    </row>
    <row r="28" spans="1:23" s="3" customFormat="1" ht="15" x14ac:dyDescent="0.25">
      <c r="A28" s="255" t="s">
        <v>44</v>
      </c>
      <c r="B28" s="256"/>
      <c r="C28" s="83" t="s">
        <v>35</v>
      </c>
      <c r="D28" s="83" t="s">
        <v>35</v>
      </c>
      <c r="E28" s="83" t="s">
        <v>35</v>
      </c>
      <c r="F28" s="84">
        <f>SUM(F24+PHA!F17+NPHC!F15)</f>
        <v>1807</v>
      </c>
      <c r="G28" s="84">
        <f>SUM(G24+PHA!G17+NPHC!G15)</f>
        <v>131</v>
      </c>
      <c r="H28" s="84">
        <f>SUM(H24+PHA!H17+NPHC!H15)</f>
        <v>111</v>
      </c>
      <c r="I28" s="84" t="s">
        <v>35</v>
      </c>
      <c r="J28" s="84">
        <f>SUM(J24+PHA!J17+NPHC!J15)</f>
        <v>10861.5</v>
      </c>
      <c r="K28" s="85" t="s">
        <v>35</v>
      </c>
      <c r="L28" s="86">
        <f>SUM(L24+PHA!L17+NPHC!L15)</f>
        <v>47024.480000000003</v>
      </c>
      <c r="M28" s="86" t="s">
        <v>35</v>
      </c>
      <c r="N28" s="84">
        <f>SUM(N24+PHA!N17+NPHC!N15)</f>
        <v>1409</v>
      </c>
      <c r="O28" s="84">
        <f>SUM(O24+PHA!O17+NPHC!O15)</f>
        <v>82</v>
      </c>
      <c r="P28" s="84">
        <f>SUM(P24+PHA!P17+NPHC!P15)</f>
        <v>353</v>
      </c>
      <c r="Q28" s="88">
        <f>SUM(PHA!Q17,IFC!Q24,NPHC!Q15)</f>
        <v>242</v>
      </c>
      <c r="R28" s="50"/>
      <c r="S28" s="50"/>
      <c r="T28" s="50"/>
      <c r="U28" s="50"/>
      <c r="V28" s="50"/>
      <c r="W28" s="50"/>
    </row>
    <row r="29" spans="1:23" s="3" customFormat="1" ht="15" x14ac:dyDescent="0.25">
      <c r="A29" s="252" t="s">
        <v>45</v>
      </c>
      <c r="B29" s="253"/>
      <c r="C29" s="91">
        <v>3.22</v>
      </c>
      <c r="D29" s="91">
        <f>AVERAGE(D3:D5,D7,D10:D11,D14:D21,PHA!D3:D5,PHA!D9:D10,PHA!D12:D13,PHA!D15,NPHC!D3)</f>
        <v>3.201304347826087</v>
      </c>
      <c r="E29" s="92" t="s">
        <v>35</v>
      </c>
      <c r="F29" s="93">
        <f>F28/29</f>
        <v>62.310344827586206</v>
      </c>
      <c r="G29" s="93">
        <f t="shared" ref="G29:H29" si="8">G28/29</f>
        <v>4.5172413793103452</v>
      </c>
      <c r="H29" s="93">
        <f t="shared" si="8"/>
        <v>3.8275862068965516</v>
      </c>
      <c r="I29" s="94">
        <f>AVERAGE(I3,I5:I6,I8,I10:I11,I14:I20,I22:I23,PHA!I3:I5,PHA!I10:I13,PHA!I15:I16,NPHC!I4,NPHC!I11,NPHC!I13)</f>
        <v>0.84545454545454557</v>
      </c>
      <c r="J29" s="95">
        <f>J28/29</f>
        <v>374.5344827586207</v>
      </c>
      <c r="K29" s="96">
        <f>AVERAGE(K3:K23,PHA!K3:K16,NPHC!K4:K14)</f>
        <v>4.3953849257226398</v>
      </c>
      <c r="L29" s="97">
        <f>L28/29</f>
        <v>1621.5337931034485</v>
      </c>
      <c r="M29" s="97">
        <f>AVERAGE(M3:M23,PHA!M3:M16,NPHC!M4:M14)</f>
        <v>26.300752460947617</v>
      </c>
      <c r="N29" s="98">
        <f>N28/29</f>
        <v>48.586206896551722</v>
      </c>
      <c r="O29" s="98">
        <f t="shared" ref="O29:P29" si="9">O28/29</f>
        <v>2.8275862068965516</v>
      </c>
      <c r="P29" s="98">
        <f t="shared" si="9"/>
        <v>12.172413793103448</v>
      </c>
      <c r="Q29" s="99">
        <f>Q28/29</f>
        <v>8.3448275862068968</v>
      </c>
      <c r="R29" s="50"/>
      <c r="S29" s="50"/>
      <c r="T29" s="50"/>
      <c r="U29" s="50"/>
      <c r="V29" s="50"/>
      <c r="W29" s="50"/>
    </row>
    <row r="30" spans="1:23" s="3" customFormat="1" ht="15.75" customHeight="1" x14ac:dyDescent="0.25">
      <c r="A30" s="50"/>
      <c r="B30" s="50"/>
      <c r="C30" s="50"/>
      <c r="D30" s="50"/>
      <c r="E30" s="50"/>
      <c r="F30" s="50"/>
      <c r="G30" s="50"/>
      <c r="H30" s="50"/>
      <c r="I30" s="28" t="s">
        <v>46</v>
      </c>
      <c r="J30" s="50"/>
      <c r="K30" s="28" t="s">
        <v>47</v>
      </c>
      <c r="L30" s="28"/>
      <c r="M30" s="50"/>
      <c r="N30" s="29" t="s">
        <v>48</v>
      </c>
      <c r="O30" s="50"/>
      <c r="P30" s="13" t="s">
        <v>49</v>
      </c>
      <c r="Q30" s="50"/>
      <c r="R30" s="50"/>
      <c r="S30" s="50"/>
      <c r="T30" s="50"/>
      <c r="U30" s="50"/>
      <c r="V30" s="50"/>
      <c r="W30" s="50"/>
    </row>
    <row r="31" spans="1:23" s="3" customFormat="1" ht="15" x14ac:dyDescent="0.25">
      <c r="A31" s="254"/>
      <c r="B31" s="254"/>
      <c r="C31" s="100"/>
      <c r="D31" s="101"/>
      <c r="E31" s="100"/>
      <c r="F31" s="100"/>
      <c r="G31" s="100"/>
      <c r="H31" s="100"/>
      <c r="I31" s="100"/>
      <c r="J31" s="50"/>
      <c r="K31" s="50"/>
      <c r="L31" s="50"/>
      <c r="M31" s="251"/>
      <c r="N31" s="251"/>
      <c r="O31" s="250"/>
      <c r="P31" s="250"/>
      <c r="Q31" s="250"/>
      <c r="R31" s="50"/>
      <c r="S31" s="50"/>
      <c r="T31" s="50"/>
      <c r="U31" s="50"/>
      <c r="V31" s="50"/>
      <c r="W31" s="50"/>
    </row>
    <row r="32" spans="1:23" s="3" customFormat="1" ht="18.75" x14ac:dyDescent="0.25">
      <c r="A32" s="240" t="s">
        <v>50</v>
      </c>
      <c r="B32" s="240"/>
      <c r="C32" s="240"/>
      <c r="D32" s="240"/>
      <c r="E32" s="240"/>
      <c r="F32" s="240"/>
      <c r="G32" s="240"/>
      <c r="H32" s="240"/>
      <c r="I32" s="240"/>
      <c r="J32" s="240"/>
      <c r="K32" s="240"/>
      <c r="L32" s="240"/>
      <c r="M32" s="240"/>
      <c r="N32" s="240"/>
      <c r="O32" s="240"/>
      <c r="P32" s="240"/>
      <c r="Q32" s="240"/>
      <c r="R32" s="50"/>
      <c r="S32" s="50"/>
      <c r="T32" s="50"/>
      <c r="U32" s="50"/>
      <c r="V32" s="50"/>
      <c r="W32" s="50"/>
    </row>
    <row r="33" spans="1:23" s="3" customFormat="1" ht="15" x14ac:dyDescent="0.25">
      <c r="A33" s="244" t="s">
        <v>51</v>
      </c>
      <c r="B33" s="244"/>
      <c r="C33" s="244"/>
      <c r="D33" s="244"/>
      <c r="E33" s="244"/>
      <c r="F33" s="244"/>
      <c r="G33" s="244"/>
      <c r="H33" s="244"/>
      <c r="I33" s="244"/>
      <c r="J33" s="244"/>
      <c r="K33" s="244"/>
      <c r="L33" s="244"/>
      <c r="M33" s="244"/>
      <c r="N33" s="244"/>
      <c r="O33" s="244"/>
      <c r="P33" s="244"/>
      <c r="Q33" s="244"/>
      <c r="R33" s="50"/>
      <c r="S33" s="50"/>
      <c r="T33" s="50"/>
      <c r="U33" s="50"/>
      <c r="V33" s="50"/>
      <c r="W33" s="50"/>
    </row>
    <row r="34" spans="1:23" s="3" customFormat="1" ht="15" customHeight="1" x14ac:dyDescent="0.25">
      <c r="A34" s="12"/>
      <c r="B34" s="12"/>
      <c r="C34" s="12"/>
      <c r="D34" s="12"/>
      <c r="E34" s="12"/>
      <c r="F34" s="12"/>
      <c r="G34" s="12"/>
      <c r="H34" s="12"/>
      <c r="I34" s="12"/>
      <c r="J34" s="12"/>
      <c r="K34" s="12"/>
      <c r="L34" s="12"/>
      <c r="M34" s="12"/>
      <c r="N34" s="12"/>
      <c r="O34" s="12"/>
      <c r="P34" s="12"/>
      <c r="Q34" s="12"/>
      <c r="R34" s="50"/>
      <c r="S34" s="50"/>
      <c r="T34" s="50"/>
      <c r="U34" s="50"/>
      <c r="V34" s="50"/>
      <c r="W34" s="50"/>
    </row>
    <row r="35" spans="1:23" s="3" customFormat="1" ht="49.5" customHeight="1" x14ac:dyDescent="0.25">
      <c r="A35" s="241" t="s">
        <v>52</v>
      </c>
      <c r="B35" s="242"/>
      <c r="C35" s="242"/>
      <c r="D35" s="242"/>
      <c r="E35" s="242"/>
      <c r="F35" s="242"/>
      <c r="G35" s="242"/>
      <c r="H35" s="242"/>
      <c r="I35" s="242"/>
      <c r="J35" s="242"/>
      <c r="K35" s="242"/>
      <c r="L35" s="242"/>
      <c r="M35" s="242"/>
      <c r="N35" s="242"/>
      <c r="O35" s="242"/>
      <c r="P35" s="242"/>
      <c r="Q35" s="242"/>
      <c r="R35" s="50"/>
      <c r="S35" s="50"/>
      <c r="T35" s="50"/>
      <c r="U35" s="50"/>
      <c r="V35" s="50"/>
      <c r="W35" s="50"/>
    </row>
    <row r="36" spans="1:23" s="3" customFormat="1" ht="15" x14ac:dyDescent="0.25">
      <c r="A36" s="245"/>
      <c r="B36" s="245"/>
      <c r="C36" s="245"/>
      <c r="D36" s="245"/>
      <c r="E36" s="245"/>
      <c r="F36" s="245"/>
      <c r="G36" s="245"/>
      <c r="H36" s="245"/>
      <c r="I36" s="245"/>
      <c r="J36" s="245"/>
      <c r="K36" s="245"/>
      <c r="L36" s="245"/>
      <c r="M36" s="245"/>
      <c r="N36" s="245"/>
      <c r="O36" s="245"/>
      <c r="P36" s="245"/>
      <c r="Q36" s="245"/>
      <c r="R36" s="50"/>
      <c r="S36" s="50"/>
      <c r="T36" s="50"/>
      <c r="U36" s="50"/>
      <c r="V36" s="50"/>
      <c r="W36" s="50"/>
    </row>
    <row r="37" spans="1:23" s="3" customFormat="1" ht="48" customHeight="1" x14ac:dyDescent="0.25">
      <c r="A37" s="243" t="s">
        <v>53</v>
      </c>
      <c r="B37" s="243"/>
      <c r="C37" s="243"/>
      <c r="D37" s="243"/>
      <c r="E37" s="243"/>
      <c r="F37" s="243"/>
      <c r="G37" s="243"/>
      <c r="H37" s="243"/>
      <c r="I37" s="243"/>
      <c r="J37" s="243"/>
      <c r="K37" s="243"/>
      <c r="L37" s="243"/>
      <c r="M37" s="243"/>
      <c r="N37" s="243"/>
      <c r="O37" s="243"/>
      <c r="P37" s="243"/>
      <c r="Q37" s="243"/>
      <c r="R37" s="50"/>
      <c r="S37" s="50"/>
      <c r="T37" s="50"/>
      <c r="U37" s="50"/>
      <c r="V37" s="50"/>
      <c r="W37" s="50"/>
    </row>
    <row r="38" spans="1:23" x14ac:dyDescent="0.25">
      <c r="F38" s="10"/>
    </row>
    <row r="40" spans="1:23" x14ac:dyDescent="0.25">
      <c r="E40" s="11"/>
    </row>
  </sheetData>
  <sortState xmlns:xlrd2="http://schemas.microsoft.com/office/spreadsheetml/2017/richdata2" ref="A3:Q23">
    <sortCondition descending="1" ref="C3:C23"/>
  </sortState>
  <mergeCells count="15">
    <mergeCell ref="A1:Q1"/>
    <mergeCell ref="A32:Q32"/>
    <mergeCell ref="A35:Q35"/>
    <mergeCell ref="A37:Q37"/>
    <mergeCell ref="A33:Q33"/>
    <mergeCell ref="A36:Q36"/>
    <mergeCell ref="A25:B25"/>
    <mergeCell ref="A24:B24"/>
    <mergeCell ref="O31:Q31"/>
    <mergeCell ref="M31:N31"/>
    <mergeCell ref="A29:B29"/>
    <mergeCell ref="A31:B31"/>
    <mergeCell ref="A26:B26"/>
    <mergeCell ref="A28:B28"/>
    <mergeCell ref="A2:B2"/>
  </mergeCells>
  <pageMargins left="0.75" right="0.75" top="1" bottom="1" header="0.5" footer="0.5"/>
  <pageSetup scale="57"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7"/>
  <sheetViews>
    <sheetView topLeftCell="A3" zoomScaleNormal="100" workbookViewId="0">
      <selection activeCell="D28" sqref="D28"/>
    </sheetView>
  </sheetViews>
  <sheetFormatPr defaultColWidth="11" defaultRowHeight="15.75" x14ac:dyDescent="0.25"/>
  <cols>
    <col min="1" max="1" width="4.625" customWidth="1"/>
    <col min="2" max="2" width="34.5" bestFit="1" customWidth="1"/>
    <col min="3" max="17" width="11.125" customWidth="1"/>
  </cols>
  <sheetData>
    <row r="1" spans="1:19" ht="19.5" thickBot="1" x14ac:dyDescent="0.3">
      <c r="A1" s="259" t="s">
        <v>54</v>
      </c>
      <c r="B1" s="260"/>
      <c r="C1" s="260"/>
      <c r="D1" s="260"/>
      <c r="E1" s="260"/>
      <c r="F1" s="260"/>
      <c r="G1" s="260"/>
      <c r="H1" s="260"/>
      <c r="I1" s="260"/>
      <c r="J1" s="260"/>
      <c r="K1" s="260"/>
      <c r="L1" s="260"/>
      <c r="M1" s="260"/>
      <c r="N1" s="260"/>
      <c r="O1" s="260"/>
      <c r="P1" s="260"/>
      <c r="Q1" s="261"/>
    </row>
    <row r="2" spans="1:19" s="2" customFormat="1" ht="60.75" thickBot="1" x14ac:dyDescent="0.3">
      <c r="A2" s="272" t="s">
        <v>1</v>
      </c>
      <c r="B2" s="273"/>
      <c r="C2" s="15" t="s">
        <v>55</v>
      </c>
      <c r="D2" s="15" t="s">
        <v>56</v>
      </c>
      <c r="E2" s="15" t="s">
        <v>57</v>
      </c>
      <c r="F2" s="15" t="s">
        <v>5</v>
      </c>
      <c r="G2" s="15" t="s">
        <v>6</v>
      </c>
      <c r="H2" s="15" t="s">
        <v>7</v>
      </c>
      <c r="I2" s="15" t="s">
        <v>8</v>
      </c>
      <c r="J2" s="16" t="s">
        <v>9</v>
      </c>
      <c r="K2" s="36" t="s">
        <v>10</v>
      </c>
      <c r="L2" s="15" t="s">
        <v>11</v>
      </c>
      <c r="M2" s="36" t="s">
        <v>58</v>
      </c>
      <c r="N2" s="15" t="s">
        <v>13</v>
      </c>
      <c r="O2" s="15" t="s">
        <v>14</v>
      </c>
      <c r="P2" s="15" t="s">
        <v>15</v>
      </c>
      <c r="Q2" s="17" t="s">
        <v>16</v>
      </c>
    </row>
    <row r="3" spans="1:19" s="3" customFormat="1" ht="15" x14ac:dyDescent="0.25">
      <c r="A3" s="102">
        <v>1</v>
      </c>
      <c r="B3" s="103" t="s">
        <v>59</v>
      </c>
      <c r="C3" s="104">
        <v>3.48</v>
      </c>
      <c r="D3" s="104">
        <v>3.49</v>
      </c>
      <c r="E3" s="33" t="s">
        <v>18</v>
      </c>
      <c r="F3" s="105">
        <v>142</v>
      </c>
      <c r="G3" s="103">
        <v>4</v>
      </c>
      <c r="H3" s="103">
        <v>3</v>
      </c>
      <c r="I3" s="106">
        <f>H3/G3</f>
        <v>0.75</v>
      </c>
      <c r="J3" s="107">
        <v>1713</v>
      </c>
      <c r="K3" s="37">
        <f>J3/F3</f>
        <v>12.06338028169014</v>
      </c>
      <c r="L3" s="108">
        <v>6723</v>
      </c>
      <c r="M3" s="47">
        <f>L3/F3</f>
        <v>47.345070422535208</v>
      </c>
      <c r="N3" s="103">
        <v>0</v>
      </c>
      <c r="O3" s="103">
        <v>3</v>
      </c>
      <c r="P3" s="103">
        <v>28</v>
      </c>
      <c r="Q3" s="109">
        <v>27</v>
      </c>
      <c r="R3" s="50"/>
      <c r="S3" s="50"/>
    </row>
    <row r="4" spans="1:19" s="3" customFormat="1" ht="15" x14ac:dyDescent="0.25">
      <c r="A4" s="41">
        <v>2</v>
      </c>
      <c r="B4" s="38" t="s">
        <v>60</v>
      </c>
      <c r="C4" s="27">
        <v>3.42</v>
      </c>
      <c r="D4" s="37">
        <v>3.44</v>
      </c>
      <c r="E4" s="38">
        <v>3.02</v>
      </c>
      <c r="F4" s="42">
        <v>150</v>
      </c>
      <c r="G4" s="43">
        <v>7</v>
      </c>
      <c r="H4" s="38">
        <v>7</v>
      </c>
      <c r="I4" s="110">
        <f>H4/G4</f>
        <v>1</v>
      </c>
      <c r="J4" s="111">
        <v>255.5</v>
      </c>
      <c r="K4" s="37">
        <f>J4/F4</f>
        <v>1.7033333333333334</v>
      </c>
      <c r="L4" s="112">
        <v>1754.3</v>
      </c>
      <c r="M4" s="47">
        <f>L4/F4</f>
        <v>11.695333333333332</v>
      </c>
      <c r="N4" s="38">
        <v>171</v>
      </c>
      <c r="O4" s="38">
        <v>3</v>
      </c>
      <c r="P4" s="38">
        <v>15</v>
      </c>
      <c r="Q4" s="113">
        <v>25</v>
      </c>
      <c r="R4" s="50"/>
      <c r="S4" s="50"/>
    </row>
    <row r="5" spans="1:19" s="3" customFormat="1" ht="15" x14ac:dyDescent="0.25">
      <c r="A5" s="41">
        <v>3</v>
      </c>
      <c r="B5" s="38" t="s">
        <v>61</v>
      </c>
      <c r="C5" s="37">
        <v>3.4</v>
      </c>
      <c r="D5" s="37">
        <v>3.43</v>
      </c>
      <c r="E5" s="37">
        <v>3.15</v>
      </c>
      <c r="F5" s="42">
        <v>143</v>
      </c>
      <c r="G5" s="42">
        <v>15</v>
      </c>
      <c r="H5" s="42">
        <v>14</v>
      </c>
      <c r="I5" s="110">
        <f>H5/G5</f>
        <v>0.93333333333333335</v>
      </c>
      <c r="J5" s="111">
        <v>1723.5</v>
      </c>
      <c r="K5" s="37">
        <f>J5/F5</f>
        <v>12.052447552447552</v>
      </c>
      <c r="L5" s="47">
        <v>393</v>
      </c>
      <c r="M5" s="47">
        <f>L5/F5</f>
        <v>2.7482517482517483</v>
      </c>
      <c r="N5" s="114">
        <v>0</v>
      </c>
      <c r="O5" s="38">
        <v>8</v>
      </c>
      <c r="P5" s="38">
        <v>24</v>
      </c>
      <c r="Q5" s="113">
        <v>31</v>
      </c>
      <c r="R5" s="50"/>
      <c r="S5" s="50"/>
    </row>
    <row r="6" spans="1:19" s="3" customFormat="1" ht="15" x14ac:dyDescent="0.25">
      <c r="A6" s="115"/>
      <c r="B6" s="5" t="s">
        <v>62</v>
      </c>
      <c r="C6" s="19">
        <v>3.35</v>
      </c>
      <c r="D6" s="116"/>
      <c r="E6" s="116"/>
      <c r="F6" s="6"/>
      <c r="G6" s="116"/>
      <c r="H6" s="116"/>
      <c r="I6" s="117"/>
      <c r="J6" s="118"/>
      <c r="K6" s="118"/>
      <c r="L6" s="119"/>
      <c r="M6" s="119"/>
      <c r="N6" s="120"/>
      <c r="O6" s="116"/>
      <c r="P6" s="116"/>
      <c r="Q6" s="121"/>
      <c r="R6" s="50"/>
      <c r="S6" s="50"/>
    </row>
    <row r="7" spans="1:19" s="3" customFormat="1" ht="15" x14ac:dyDescent="0.25">
      <c r="A7" s="115"/>
      <c r="B7" s="5" t="s">
        <v>63</v>
      </c>
      <c r="C7" s="19">
        <v>3.31</v>
      </c>
      <c r="D7" s="116"/>
      <c r="E7" s="116"/>
      <c r="F7" s="6"/>
      <c r="G7" s="116"/>
      <c r="H7" s="116"/>
      <c r="I7" s="117"/>
      <c r="J7" s="118"/>
      <c r="K7" s="118"/>
      <c r="L7" s="119"/>
      <c r="M7" s="119"/>
      <c r="N7" s="120"/>
      <c r="O7" s="116"/>
      <c r="P7" s="116"/>
      <c r="Q7" s="121"/>
      <c r="R7" s="50"/>
      <c r="S7" s="50"/>
    </row>
    <row r="8" spans="1:19" s="3" customFormat="1" ht="15" x14ac:dyDescent="0.25">
      <c r="A8" s="115"/>
      <c r="B8" s="5" t="s">
        <v>64</v>
      </c>
      <c r="C8" s="5">
        <v>3.31</v>
      </c>
      <c r="D8" s="116"/>
      <c r="E8" s="116"/>
      <c r="F8" s="6"/>
      <c r="G8" s="116"/>
      <c r="H8" s="116"/>
      <c r="I8" s="117"/>
      <c r="J8" s="118"/>
      <c r="K8" s="118"/>
      <c r="L8" s="119"/>
      <c r="M8" s="119"/>
      <c r="N8" s="120"/>
      <c r="O8" s="116"/>
      <c r="P8" s="116"/>
      <c r="Q8" s="121"/>
      <c r="R8" s="50"/>
      <c r="S8" s="50"/>
    </row>
    <row r="9" spans="1:19" s="3" customFormat="1" ht="15" x14ac:dyDescent="0.25">
      <c r="A9" s="41">
        <v>5</v>
      </c>
      <c r="B9" s="38" t="s">
        <v>65</v>
      </c>
      <c r="C9" s="37">
        <v>3.3</v>
      </c>
      <c r="D9" s="37">
        <v>3.3</v>
      </c>
      <c r="E9" s="27" t="s">
        <v>18</v>
      </c>
      <c r="F9" s="27">
        <v>147</v>
      </c>
      <c r="G9" s="43">
        <v>5</v>
      </c>
      <c r="H9" s="38">
        <v>4</v>
      </c>
      <c r="I9" s="110">
        <f>H9/G9</f>
        <v>0.8</v>
      </c>
      <c r="J9" s="111">
        <v>1044</v>
      </c>
      <c r="K9" s="37">
        <f>J9/F9</f>
        <v>7.1020408163265305</v>
      </c>
      <c r="L9" s="47">
        <v>251</v>
      </c>
      <c r="M9" s="47">
        <f>L9/F9</f>
        <v>1.7074829931972788</v>
      </c>
      <c r="N9" s="114">
        <v>70</v>
      </c>
      <c r="O9" s="38">
        <v>3</v>
      </c>
      <c r="P9" s="38">
        <v>14</v>
      </c>
      <c r="Q9" s="113">
        <v>27</v>
      </c>
      <c r="R9" s="50"/>
      <c r="S9" s="50"/>
    </row>
    <row r="10" spans="1:19" s="3" customFormat="1" ht="15" x14ac:dyDescent="0.25">
      <c r="A10" s="41">
        <v>4</v>
      </c>
      <c r="B10" s="38" t="s">
        <v>66</v>
      </c>
      <c r="C10" s="26">
        <v>3.3</v>
      </c>
      <c r="D10" s="37">
        <v>3.39</v>
      </c>
      <c r="E10" s="27" t="s">
        <v>18</v>
      </c>
      <c r="F10" s="18">
        <v>33</v>
      </c>
      <c r="G10" s="43">
        <v>5</v>
      </c>
      <c r="H10" s="38">
        <v>4</v>
      </c>
      <c r="I10" s="110">
        <f>H10/G10</f>
        <v>0.8</v>
      </c>
      <c r="J10" s="45">
        <v>0</v>
      </c>
      <c r="K10" s="37">
        <f>J10/F10</f>
        <v>0</v>
      </c>
      <c r="L10" s="47">
        <v>0</v>
      </c>
      <c r="M10" s="47">
        <f>L10/F10</f>
        <v>0</v>
      </c>
      <c r="N10" s="114">
        <v>0</v>
      </c>
      <c r="O10" s="38">
        <v>1</v>
      </c>
      <c r="P10" s="38">
        <v>16</v>
      </c>
      <c r="Q10" s="113">
        <v>5</v>
      </c>
      <c r="R10" s="50"/>
      <c r="S10" s="50"/>
    </row>
    <row r="11" spans="1:19" s="3" customFormat="1" ht="15" x14ac:dyDescent="0.25">
      <c r="A11" s="115"/>
      <c r="B11" s="5" t="s">
        <v>21</v>
      </c>
      <c r="C11" s="19">
        <v>3.27</v>
      </c>
      <c r="D11" s="116"/>
      <c r="E11" s="116"/>
      <c r="F11" s="6"/>
      <c r="G11" s="116"/>
      <c r="H11" s="116"/>
      <c r="I11" s="117"/>
      <c r="J11" s="122"/>
      <c r="K11" s="118"/>
      <c r="L11" s="119"/>
      <c r="M11" s="119"/>
      <c r="N11" s="120"/>
      <c r="O11" s="116"/>
      <c r="P11" s="116"/>
      <c r="Q11" s="121"/>
      <c r="R11" s="50"/>
      <c r="S11" s="50"/>
    </row>
    <row r="12" spans="1:19" s="3" customFormat="1" ht="15" x14ac:dyDescent="0.25">
      <c r="A12" s="41">
        <v>6</v>
      </c>
      <c r="B12" s="38" t="s">
        <v>67</v>
      </c>
      <c r="C12" s="37">
        <v>3.25</v>
      </c>
      <c r="D12" s="38">
        <v>3.26</v>
      </c>
      <c r="E12" s="38" t="s">
        <v>18</v>
      </c>
      <c r="F12" s="42">
        <v>116</v>
      </c>
      <c r="G12" s="43">
        <v>4</v>
      </c>
      <c r="H12" s="38">
        <v>4</v>
      </c>
      <c r="I12" s="110">
        <f>H12/G12</f>
        <v>1</v>
      </c>
      <c r="J12" s="45">
        <v>801.5</v>
      </c>
      <c r="K12" s="37">
        <f>J12/F12</f>
        <v>6.9094827586206895</v>
      </c>
      <c r="L12" s="47">
        <v>335</v>
      </c>
      <c r="M12" s="47">
        <f>L12/F12</f>
        <v>2.8879310344827585</v>
      </c>
      <c r="N12" s="114">
        <v>0</v>
      </c>
      <c r="O12" s="38">
        <v>3</v>
      </c>
      <c r="P12" s="38">
        <v>10</v>
      </c>
      <c r="Q12" s="113">
        <v>17</v>
      </c>
      <c r="R12" s="50"/>
      <c r="S12" s="50"/>
    </row>
    <row r="13" spans="1:19" s="3" customFormat="1" ht="15" x14ac:dyDescent="0.25">
      <c r="A13" s="41">
        <v>7</v>
      </c>
      <c r="B13" s="123" t="s">
        <v>68</v>
      </c>
      <c r="C13" s="37">
        <v>3.24</v>
      </c>
      <c r="D13" s="38">
        <v>3.25</v>
      </c>
      <c r="E13" s="27" t="s">
        <v>18</v>
      </c>
      <c r="F13" s="42">
        <v>129</v>
      </c>
      <c r="G13" s="43">
        <v>2</v>
      </c>
      <c r="H13" s="18">
        <v>3</v>
      </c>
      <c r="I13" s="124">
        <f>H13/G13</f>
        <v>1.5</v>
      </c>
      <c r="J13" s="111">
        <v>601.5</v>
      </c>
      <c r="K13" s="37">
        <f>J13/F13</f>
        <v>4.6627906976744189</v>
      </c>
      <c r="L13" s="47">
        <v>2217.8000000000002</v>
      </c>
      <c r="M13" s="47">
        <f>L13/F13</f>
        <v>17.192248062015505</v>
      </c>
      <c r="N13" s="114">
        <v>144</v>
      </c>
      <c r="O13" s="38">
        <v>3</v>
      </c>
      <c r="P13" s="125">
        <v>6</v>
      </c>
      <c r="Q13" s="113">
        <v>18</v>
      </c>
      <c r="R13" s="50"/>
      <c r="S13" s="50"/>
    </row>
    <row r="14" spans="1:19" s="3" customFormat="1" ht="15" x14ac:dyDescent="0.25">
      <c r="A14" s="115"/>
      <c r="B14" s="5" t="s">
        <v>23</v>
      </c>
      <c r="C14" s="19">
        <v>3.22</v>
      </c>
      <c r="D14" s="116"/>
      <c r="E14" s="116"/>
      <c r="F14" s="6"/>
      <c r="G14" s="116"/>
      <c r="H14" s="116"/>
      <c r="I14" s="117"/>
      <c r="J14" s="122"/>
      <c r="K14" s="118"/>
      <c r="L14" s="119"/>
      <c r="M14" s="119"/>
      <c r="N14" s="120"/>
      <c r="O14" s="116"/>
      <c r="P14" s="116"/>
      <c r="Q14" s="121"/>
      <c r="R14" s="50"/>
      <c r="S14" s="50"/>
    </row>
    <row r="15" spans="1:19" s="3" customFormat="1" ht="15" x14ac:dyDescent="0.25">
      <c r="A15" s="41">
        <v>8</v>
      </c>
      <c r="B15" s="123" t="s">
        <v>69</v>
      </c>
      <c r="C15" s="26">
        <v>3.07</v>
      </c>
      <c r="D15" s="18">
        <v>3.06</v>
      </c>
      <c r="E15" s="27" t="s">
        <v>18</v>
      </c>
      <c r="F15" s="18">
        <v>117</v>
      </c>
      <c r="G15" s="126">
        <v>3</v>
      </c>
      <c r="H15" s="127">
        <v>3</v>
      </c>
      <c r="I15" s="124">
        <f>H15/G15</f>
        <v>1</v>
      </c>
      <c r="J15" s="111">
        <v>113</v>
      </c>
      <c r="K15" s="37">
        <f>J15/F15</f>
        <v>0.96581196581196582</v>
      </c>
      <c r="L15" s="47">
        <v>0</v>
      </c>
      <c r="M15" s="47">
        <f>L15/F15</f>
        <v>0</v>
      </c>
      <c r="N15" s="114">
        <v>0</v>
      </c>
      <c r="O15" s="38">
        <v>3</v>
      </c>
      <c r="P15" s="38">
        <v>9</v>
      </c>
      <c r="Q15" s="113">
        <v>17</v>
      </c>
      <c r="R15" s="50"/>
      <c r="S15" s="50"/>
    </row>
    <row r="16" spans="1:19" s="3" customFormat="1" thickBot="1" x14ac:dyDescent="0.3">
      <c r="A16" s="41">
        <v>9</v>
      </c>
      <c r="B16" s="38" t="s">
        <v>70</v>
      </c>
      <c r="C16" s="38">
        <v>2.64</v>
      </c>
      <c r="D16" s="38" t="s">
        <v>18</v>
      </c>
      <c r="E16" s="27" t="s">
        <v>18</v>
      </c>
      <c r="F16" s="42">
        <v>7</v>
      </c>
      <c r="G16" s="43">
        <v>2</v>
      </c>
      <c r="H16" s="42">
        <v>2</v>
      </c>
      <c r="I16" s="110">
        <f>H16/G16</f>
        <v>1</v>
      </c>
      <c r="J16" s="128">
        <v>70</v>
      </c>
      <c r="K16" s="39">
        <f>J16/F16</f>
        <v>10</v>
      </c>
      <c r="L16" s="47">
        <v>30</v>
      </c>
      <c r="M16" s="129">
        <f>L16/F16</f>
        <v>4.2857142857142856</v>
      </c>
      <c r="N16" s="114">
        <v>0</v>
      </c>
      <c r="O16" s="38">
        <v>1</v>
      </c>
      <c r="P16" s="38">
        <v>17</v>
      </c>
      <c r="Q16" s="113">
        <v>1</v>
      </c>
      <c r="R16" s="50"/>
      <c r="S16" s="50"/>
    </row>
    <row r="17" spans="1:19" s="1" customFormat="1" ht="15" x14ac:dyDescent="0.25">
      <c r="A17" s="264" t="s">
        <v>71</v>
      </c>
      <c r="B17" s="265"/>
      <c r="C17" s="130" t="s">
        <v>35</v>
      </c>
      <c r="D17" s="131" t="s">
        <v>35</v>
      </c>
      <c r="E17" s="132" t="s">
        <v>35</v>
      </c>
      <c r="F17" s="133">
        <f>SUM(F3:F16)</f>
        <v>984</v>
      </c>
      <c r="G17" s="133">
        <f t="shared" ref="G17:H17" si="0">SUM(G3:G16)</f>
        <v>47</v>
      </c>
      <c r="H17" s="133">
        <f t="shared" si="0"/>
        <v>44</v>
      </c>
      <c r="I17" s="134" t="s">
        <v>35</v>
      </c>
      <c r="J17" s="135">
        <f>SUM(J3:J16)</f>
        <v>6322</v>
      </c>
      <c r="K17" s="136" t="s">
        <v>35</v>
      </c>
      <c r="L17" s="137">
        <f>SUM(L3:L16)</f>
        <v>11704.099999999999</v>
      </c>
      <c r="M17" s="138" t="s">
        <v>35</v>
      </c>
      <c r="N17" s="139">
        <f>SUM(N3:N16)</f>
        <v>385</v>
      </c>
      <c r="O17" s="140">
        <f>SUM(O3:O16)</f>
        <v>28</v>
      </c>
      <c r="P17" s="140">
        <f>SUM(P3:P16)</f>
        <v>139</v>
      </c>
      <c r="Q17" s="141">
        <f>SUM(Q3:Q16)</f>
        <v>168</v>
      </c>
      <c r="R17" s="43"/>
      <c r="S17" s="43"/>
    </row>
    <row r="18" spans="1:19" s="3" customFormat="1" ht="15" x14ac:dyDescent="0.25">
      <c r="A18" s="262" t="s">
        <v>72</v>
      </c>
      <c r="B18" s="263"/>
      <c r="C18" s="142">
        <v>3.31</v>
      </c>
      <c r="D18" s="142">
        <f>AVERAGE(D3:D5,D10:D13,D15:D16)</f>
        <v>3.331428571428571</v>
      </c>
      <c r="E18" s="142">
        <f>AVERAGE(3.15,3.02)</f>
        <v>3.085</v>
      </c>
      <c r="F18" s="143">
        <f>AVERAGE(F3:F16)</f>
        <v>109.33333333333333</v>
      </c>
      <c r="G18" s="143">
        <f t="shared" ref="G18:H18" si="1">AVERAGE(G3:G16)</f>
        <v>5.2222222222222223</v>
      </c>
      <c r="H18" s="143">
        <f t="shared" si="1"/>
        <v>4.8888888888888893</v>
      </c>
      <c r="I18" s="144">
        <f>AVERAGE(I3:I16)</f>
        <v>0.97592592592592586</v>
      </c>
      <c r="J18" s="145">
        <f>J17/9</f>
        <v>702.44444444444446</v>
      </c>
      <c r="K18" s="142">
        <f>AVERAGE(K3:K16)</f>
        <v>6.1621430451005139</v>
      </c>
      <c r="L18" s="146">
        <f>AVERAGE(L3:L16)</f>
        <v>1300.4555555555553</v>
      </c>
      <c r="M18" s="146">
        <f>AVERAGE(M3:M16)</f>
        <v>9.7624479866144576</v>
      </c>
      <c r="N18" s="147">
        <f>N17/9</f>
        <v>42.777777777777779</v>
      </c>
      <c r="O18" s="147">
        <f>O17/9</f>
        <v>3.1111111111111112</v>
      </c>
      <c r="P18" s="147">
        <f>P17/9</f>
        <v>15.444444444444445</v>
      </c>
      <c r="Q18" s="148">
        <f>AVERAGE(Q3:Q16)</f>
        <v>18.666666666666668</v>
      </c>
      <c r="R18" s="50"/>
      <c r="S18" s="50"/>
    </row>
    <row r="19" spans="1:19" s="3" customFormat="1" ht="15" customHeight="1" x14ac:dyDescent="0.25">
      <c r="A19" s="268" t="s">
        <v>73</v>
      </c>
      <c r="B19" s="269"/>
      <c r="C19" s="149" t="s">
        <v>35</v>
      </c>
      <c r="D19" s="149" t="s">
        <v>35</v>
      </c>
      <c r="E19" s="149" t="s">
        <v>35</v>
      </c>
      <c r="F19" s="150">
        <f>SUM(F17+NPHC!F4+NPHC!F12)</f>
        <v>987</v>
      </c>
      <c r="G19" s="150">
        <f>SUM(G17+NPHC!G4+NPHC!G12)</f>
        <v>47</v>
      </c>
      <c r="H19" s="150">
        <f>SUM(H17+NPHC!H4+NPHC!H12)</f>
        <v>44</v>
      </c>
      <c r="I19" s="151" t="s">
        <v>35</v>
      </c>
      <c r="J19" s="152">
        <f>SUM(J17+NPHC!J4+NPHC!J12)</f>
        <v>6332</v>
      </c>
      <c r="K19" s="153" t="s">
        <v>35</v>
      </c>
      <c r="L19" s="154">
        <f>L17</f>
        <v>11704.099999999999</v>
      </c>
      <c r="M19" s="154" t="s">
        <v>35</v>
      </c>
      <c r="N19" s="150">
        <f>SUM(N17,NPHC!N4,NPHC!N12)</f>
        <v>385</v>
      </c>
      <c r="O19" s="155">
        <f>28+4</f>
        <v>32</v>
      </c>
      <c r="P19" s="155">
        <f>P17+24</f>
        <v>163</v>
      </c>
      <c r="Q19" s="156">
        <f>SUM(Q17+NPHC!Q4)</f>
        <v>168</v>
      </c>
      <c r="R19" s="4"/>
      <c r="S19" s="4"/>
    </row>
    <row r="20" spans="1:19" s="3" customFormat="1" ht="15" customHeight="1" x14ac:dyDescent="0.25">
      <c r="A20" s="157" t="s">
        <v>74</v>
      </c>
      <c r="B20" s="158"/>
      <c r="C20" s="159">
        <v>3.31</v>
      </c>
      <c r="D20" s="142">
        <f>AVERAGE(D3:D5,D9:D10,D12:D13,D15,NPHC!D3)</f>
        <v>3.3333333333333335</v>
      </c>
      <c r="E20" s="159" t="s">
        <v>35</v>
      </c>
      <c r="F20" s="143">
        <f>AVERAGE(F3:F16,NPHC!F4,NPHC!F12)</f>
        <v>98.7</v>
      </c>
      <c r="G20" s="143">
        <f>AVERAGE(G3:G16,NPHC!G4,NPHC!G12)</f>
        <v>4.7</v>
      </c>
      <c r="H20" s="143">
        <f>AVERAGE(H3:H16,NPHC!H4,NPHC!H12)</f>
        <v>4.4000000000000004</v>
      </c>
      <c r="I20" s="144">
        <f>AVERAGE(I3:I16,NPHC!I4)</f>
        <v>0.97592592592592586</v>
      </c>
      <c r="J20" s="145">
        <f>J19/11</f>
        <v>575.63636363636363</v>
      </c>
      <c r="K20" s="142">
        <f>AVERAGE(K3:K16,NPHC!K4,NPHC!K12)</f>
        <v>5.8792620739237957</v>
      </c>
      <c r="L20" s="146">
        <f>L19/11</f>
        <v>1064.0090909090907</v>
      </c>
      <c r="M20" s="146">
        <f>AVERAGE(M3:M16,NPHC!M4,NPHC!M12)</f>
        <v>8.7862031879530118</v>
      </c>
      <c r="N20" s="147">
        <f>N19/11</f>
        <v>35</v>
      </c>
      <c r="O20" s="147">
        <f>O19/11</f>
        <v>2.9090909090909092</v>
      </c>
      <c r="P20" s="147">
        <f>P19/11</f>
        <v>14.818181818181818</v>
      </c>
      <c r="Q20" s="148">
        <f>Q19/11</f>
        <v>15.272727272727273</v>
      </c>
      <c r="R20" s="4"/>
      <c r="S20" s="4"/>
    </row>
    <row r="21" spans="1:19" s="3" customFormat="1" ht="15" x14ac:dyDescent="0.25">
      <c r="A21" s="268" t="s">
        <v>44</v>
      </c>
      <c r="B21" s="269"/>
      <c r="C21" s="149" t="s">
        <v>35</v>
      </c>
      <c r="D21" s="149" t="s">
        <v>35</v>
      </c>
      <c r="E21" s="149" t="s">
        <v>35</v>
      </c>
      <c r="F21" s="150">
        <f>IFC!F28</f>
        <v>1807</v>
      </c>
      <c r="G21" s="150">
        <f>IFC!G28</f>
        <v>131</v>
      </c>
      <c r="H21" s="150">
        <f>IFC!H28</f>
        <v>111</v>
      </c>
      <c r="I21" s="151" t="s">
        <v>35</v>
      </c>
      <c r="J21" s="152">
        <f>IFC!J28</f>
        <v>10861.5</v>
      </c>
      <c r="K21" s="152" t="str">
        <f>IFC!K28</f>
        <v>-</v>
      </c>
      <c r="L21" s="154">
        <f>IFC!L28</f>
        <v>47024.480000000003</v>
      </c>
      <c r="M21" s="154" t="str">
        <f>IFC!M28</f>
        <v>-</v>
      </c>
      <c r="N21" s="150">
        <f>IFC!N28</f>
        <v>1409</v>
      </c>
      <c r="O21" s="150">
        <f>IFC!O28</f>
        <v>82</v>
      </c>
      <c r="P21" s="150">
        <f>IFC!P28</f>
        <v>353</v>
      </c>
      <c r="Q21" s="160">
        <f>IFC!Q28</f>
        <v>242</v>
      </c>
      <c r="R21" s="50"/>
      <c r="S21" s="50"/>
    </row>
    <row r="22" spans="1:19" s="3" customFormat="1" thickBot="1" x14ac:dyDescent="0.3">
      <c r="A22" s="266" t="s">
        <v>45</v>
      </c>
      <c r="B22" s="267"/>
      <c r="C22" s="161">
        <v>3.22</v>
      </c>
      <c r="D22" s="161">
        <f>IFC!D29</f>
        <v>3.201304347826087</v>
      </c>
      <c r="E22" s="162" t="s">
        <v>35</v>
      </c>
      <c r="F22" s="163">
        <f>F21/29</f>
        <v>62.310344827586206</v>
      </c>
      <c r="G22" s="163">
        <f t="shared" ref="G22:H22" si="2">G21/29</f>
        <v>4.5172413793103452</v>
      </c>
      <c r="H22" s="163">
        <f t="shared" si="2"/>
        <v>3.8275862068965516</v>
      </c>
      <c r="I22" s="164">
        <f>IFC!I29</f>
        <v>0.84545454545454557</v>
      </c>
      <c r="J22" s="165">
        <f>IFC!J29</f>
        <v>374.5344827586207</v>
      </c>
      <c r="K22" s="166">
        <f>IFC!K29</f>
        <v>4.3953849257226398</v>
      </c>
      <c r="L22" s="167">
        <f>IFC!L29</f>
        <v>1621.5337931034485</v>
      </c>
      <c r="M22" s="167">
        <f>IFC!M29</f>
        <v>26.300752460947617</v>
      </c>
      <c r="N22" s="165">
        <f>IFC!N29</f>
        <v>48.586206896551722</v>
      </c>
      <c r="O22" s="165">
        <f>IFC!O29</f>
        <v>2.8275862068965516</v>
      </c>
      <c r="P22" s="165">
        <f>IFC!P29</f>
        <v>12.172413793103448</v>
      </c>
      <c r="Q22" s="168">
        <f>IFC!Q29</f>
        <v>8.3448275862068968</v>
      </c>
      <c r="R22" s="50"/>
      <c r="S22" s="50"/>
    </row>
    <row r="23" spans="1:19" s="3" customFormat="1" ht="15.75" customHeight="1" x14ac:dyDescent="0.25">
      <c r="A23" s="50"/>
      <c r="B23" s="50"/>
      <c r="C23" s="50"/>
      <c r="D23" s="50"/>
      <c r="E23" s="50"/>
      <c r="F23" s="50"/>
      <c r="G23" s="50"/>
      <c r="H23" s="271" t="s">
        <v>46</v>
      </c>
      <c r="I23" s="271"/>
      <c r="J23" s="271" t="s">
        <v>47</v>
      </c>
      <c r="K23" s="271"/>
      <c r="L23" s="271"/>
      <c r="M23" s="270" t="s">
        <v>48</v>
      </c>
      <c r="N23" s="270"/>
      <c r="O23" s="250" t="s">
        <v>49</v>
      </c>
      <c r="P23" s="250"/>
      <c r="Q23" s="250"/>
      <c r="R23" s="50"/>
      <c r="S23" s="50"/>
    </row>
    <row r="24" spans="1:19" s="3" customFormat="1" ht="15" x14ac:dyDescent="0.25">
      <c r="A24" s="244"/>
      <c r="B24" s="244"/>
      <c r="C24" s="100"/>
      <c r="D24" s="100"/>
      <c r="E24" s="100"/>
      <c r="F24" s="100"/>
      <c r="G24" s="100"/>
      <c r="H24" s="100"/>
      <c r="I24" s="100"/>
      <c r="J24" s="169"/>
      <c r="K24" s="169"/>
      <c r="L24" s="169"/>
      <c r="M24" s="169"/>
      <c r="N24" s="170"/>
      <c r="O24" s="50"/>
      <c r="P24" s="50"/>
      <c r="Q24" s="50"/>
      <c r="R24" s="50"/>
      <c r="S24" s="50"/>
    </row>
    <row r="25" spans="1:19" s="3" customFormat="1" ht="15" x14ac:dyDescent="0.25">
      <c r="A25" s="244"/>
      <c r="B25" s="244"/>
      <c r="C25" s="100"/>
      <c r="D25" s="13"/>
      <c r="E25" s="100"/>
      <c r="F25" s="100"/>
      <c r="G25" s="100"/>
      <c r="H25" s="100"/>
      <c r="I25" s="100"/>
      <c r="J25" s="171"/>
      <c r="K25" s="171"/>
      <c r="L25" s="171"/>
      <c r="M25" s="171"/>
      <c r="N25" s="171"/>
      <c r="O25" s="171"/>
      <c r="P25" s="171"/>
      <c r="Q25" s="171"/>
      <c r="R25" s="50"/>
      <c r="S25" s="50"/>
    </row>
    <row r="26" spans="1:19" s="3" customFormat="1" ht="15" x14ac:dyDescent="0.25">
      <c r="A26" s="50"/>
      <c r="B26" s="50"/>
      <c r="C26" s="50"/>
      <c r="D26" s="50"/>
      <c r="E26" s="50"/>
      <c r="F26" s="50"/>
      <c r="G26" s="50"/>
      <c r="H26" s="50"/>
      <c r="I26" s="50"/>
      <c r="J26" s="50"/>
      <c r="K26" s="50"/>
      <c r="L26" s="50"/>
      <c r="M26" s="50"/>
      <c r="N26" s="50"/>
      <c r="O26" s="50"/>
      <c r="P26" s="50"/>
      <c r="Q26" s="50"/>
      <c r="R26" s="50"/>
      <c r="S26" s="50"/>
    </row>
    <row r="27" spans="1:19" s="3" customFormat="1" ht="15" x14ac:dyDescent="0.25">
      <c r="A27" s="50"/>
      <c r="B27" s="50"/>
      <c r="C27" s="50"/>
      <c r="D27" s="50"/>
      <c r="E27" s="50"/>
      <c r="F27" s="50"/>
      <c r="G27" s="50"/>
      <c r="H27" s="50"/>
      <c r="I27" s="50"/>
      <c r="J27" s="50"/>
      <c r="K27" s="50"/>
      <c r="L27" s="50"/>
      <c r="M27" s="50"/>
      <c r="N27" s="50"/>
      <c r="O27" s="50"/>
      <c r="P27" s="50"/>
      <c r="Q27" s="50"/>
      <c r="R27" s="50"/>
      <c r="S27" s="50"/>
    </row>
  </sheetData>
  <sortState xmlns:xlrd2="http://schemas.microsoft.com/office/spreadsheetml/2017/richdata2" ref="A3:Q16">
    <sortCondition descending="1" ref="C3:C16"/>
  </sortState>
  <mergeCells count="13">
    <mergeCell ref="A25:B25"/>
    <mergeCell ref="O23:Q23"/>
    <mergeCell ref="A1:Q1"/>
    <mergeCell ref="A18:B18"/>
    <mergeCell ref="A17:B17"/>
    <mergeCell ref="A22:B22"/>
    <mergeCell ref="A24:B24"/>
    <mergeCell ref="A19:B19"/>
    <mergeCell ref="A21:B21"/>
    <mergeCell ref="M23:N23"/>
    <mergeCell ref="H23:I23"/>
    <mergeCell ref="J23:L23"/>
    <mergeCell ref="A2:B2"/>
  </mergeCells>
  <pageMargins left="0.7" right="0.7" top="0.75" bottom="0.75" header="0.3" footer="0.3"/>
  <pageSetup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5"/>
  <sheetViews>
    <sheetView topLeftCell="A3" zoomScaleNormal="100" workbookViewId="0">
      <selection activeCell="D28" sqref="D28"/>
    </sheetView>
  </sheetViews>
  <sheetFormatPr defaultColWidth="11" defaultRowHeight="15.75" x14ac:dyDescent="0.25"/>
  <cols>
    <col min="1" max="1" width="4.625" customWidth="1"/>
    <col min="2" max="2" width="36.25" bestFit="1" customWidth="1"/>
    <col min="3" max="17" width="11.125" customWidth="1"/>
  </cols>
  <sheetData>
    <row r="1" spans="1:19" ht="18.75" x14ac:dyDescent="0.25">
      <c r="A1" s="221" t="s">
        <v>75</v>
      </c>
      <c r="B1" s="222"/>
      <c r="C1" s="222"/>
      <c r="D1" s="222"/>
      <c r="E1" s="222"/>
      <c r="F1" s="222"/>
      <c r="G1" s="222"/>
      <c r="H1" s="222"/>
      <c r="I1" s="222"/>
      <c r="J1" s="222"/>
      <c r="K1" s="222"/>
      <c r="L1" s="222"/>
      <c r="M1" s="222"/>
      <c r="N1" s="222"/>
      <c r="O1" s="222"/>
      <c r="P1" s="222"/>
      <c r="Q1" s="223"/>
    </row>
    <row r="2" spans="1:19" s="2" customFormat="1" ht="60.75" thickBot="1" x14ac:dyDescent="0.3">
      <c r="A2" s="236" t="s">
        <v>1</v>
      </c>
      <c r="B2" s="237"/>
      <c r="C2" s="23" t="s">
        <v>55</v>
      </c>
      <c r="D2" s="23" t="s">
        <v>76</v>
      </c>
      <c r="E2" s="23" t="s">
        <v>77</v>
      </c>
      <c r="F2" s="23" t="s">
        <v>5</v>
      </c>
      <c r="G2" s="23" t="s">
        <v>6</v>
      </c>
      <c r="H2" s="23" t="s">
        <v>7</v>
      </c>
      <c r="I2" s="23" t="s">
        <v>8</v>
      </c>
      <c r="J2" s="24" t="s">
        <v>9</v>
      </c>
      <c r="K2" s="23" t="s">
        <v>10</v>
      </c>
      <c r="L2" s="23" t="s">
        <v>11</v>
      </c>
      <c r="M2" s="23" t="s">
        <v>12</v>
      </c>
      <c r="N2" s="23" t="s">
        <v>13</v>
      </c>
      <c r="O2" s="23" t="s">
        <v>14</v>
      </c>
      <c r="P2" s="23" t="s">
        <v>15</v>
      </c>
      <c r="Q2" s="25" t="s">
        <v>16</v>
      </c>
    </row>
    <row r="3" spans="1:19" s="3" customFormat="1" ht="15" x14ac:dyDescent="0.25">
      <c r="A3" s="172">
        <v>1</v>
      </c>
      <c r="B3" s="103" t="s">
        <v>78</v>
      </c>
      <c r="C3" s="104">
        <v>3.38</v>
      </c>
      <c r="D3" s="173">
        <v>3.38</v>
      </c>
      <c r="E3" s="104" t="s">
        <v>18</v>
      </c>
      <c r="F3" s="174">
        <v>11</v>
      </c>
      <c r="G3" s="105">
        <v>1</v>
      </c>
      <c r="H3" s="105">
        <v>1</v>
      </c>
      <c r="I3" s="40">
        <v>1</v>
      </c>
      <c r="J3" s="175">
        <v>15</v>
      </c>
      <c r="K3" s="104">
        <f>J3/F3</f>
        <v>1.3636363636363635</v>
      </c>
      <c r="L3" s="108">
        <v>0</v>
      </c>
      <c r="M3" s="108">
        <f>L3/F3</f>
        <v>0</v>
      </c>
      <c r="N3" s="176">
        <v>0</v>
      </c>
      <c r="O3" s="103">
        <v>1</v>
      </c>
      <c r="P3" s="103">
        <v>11</v>
      </c>
      <c r="Q3" s="109">
        <v>2</v>
      </c>
      <c r="R3" s="50"/>
      <c r="S3" s="50"/>
    </row>
    <row r="4" spans="1:19" s="3" customFormat="1" ht="15" x14ac:dyDescent="0.25">
      <c r="A4" s="177"/>
      <c r="B4" s="7" t="s">
        <v>62</v>
      </c>
      <c r="C4" s="9">
        <v>3.35</v>
      </c>
      <c r="D4" s="178"/>
      <c r="E4" s="178"/>
      <c r="F4" s="8"/>
      <c r="G4" s="179"/>
      <c r="H4" s="179"/>
      <c r="I4" s="178"/>
      <c r="J4" s="180"/>
      <c r="K4" s="181"/>
      <c r="L4" s="182"/>
      <c r="M4" s="182"/>
      <c r="N4" s="180"/>
      <c r="O4" s="178"/>
      <c r="P4" s="178"/>
      <c r="Q4" s="183"/>
      <c r="R4" s="50"/>
      <c r="S4" s="50"/>
    </row>
    <row r="5" spans="1:19" s="3" customFormat="1" ht="15" x14ac:dyDescent="0.25">
      <c r="A5" s="177"/>
      <c r="B5" s="7" t="s">
        <v>63</v>
      </c>
      <c r="C5" s="9">
        <v>3.31</v>
      </c>
      <c r="D5" s="178"/>
      <c r="E5" s="178"/>
      <c r="F5" s="8"/>
      <c r="G5" s="179"/>
      <c r="H5" s="179"/>
      <c r="I5" s="178"/>
      <c r="J5" s="180"/>
      <c r="K5" s="181"/>
      <c r="L5" s="184"/>
      <c r="M5" s="184"/>
      <c r="N5" s="180"/>
      <c r="O5" s="178"/>
      <c r="P5" s="178"/>
      <c r="Q5" s="183"/>
      <c r="R5" s="50"/>
      <c r="S5" s="50"/>
    </row>
    <row r="6" spans="1:19" s="3" customFormat="1" ht="15" x14ac:dyDescent="0.25">
      <c r="A6" s="177"/>
      <c r="B6" s="7" t="s">
        <v>21</v>
      </c>
      <c r="C6" s="9">
        <v>3.27</v>
      </c>
      <c r="D6" s="178"/>
      <c r="E6" s="178"/>
      <c r="F6" s="8"/>
      <c r="G6" s="179"/>
      <c r="H6" s="179"/>
      <c r="I6" s="178"/>
      <c r="J6" s="180"/>
      <c r="K6" s="181"/>
      <c r="L6" s="184"/>
      <c r="M6" s="184"/>
      <c r="N6" s="180"/>
      <c r="O6" s="178"/>
      <c r="P6" s="178"/>
      <c r="Q6" s="183"/>
      <c r="R6" s="50"/>
      <c r="S6" s="50"/>
    </row>
    <row r="7" spans="1:19" s="3" customFormat="1" ht="15" x14ac:dyDescent="0.25">
      <c r="A7" s="177"/>
      <c r="B7" s="7" t="s">
        <v>23</v>
      </c>
      <c r="C7" s="9">
        <v>3.22</v>
      </c>
      <c r="D7" s="178"/>
      <c r="E7" s="178"/>
      <c r="F7" s="8"/>
      <c r="G7" s="179"/>
      <c r="H7" s="179"/>
      <c r="I7" s="178"/>
      <c r="J7" s="180"/>
      <c r="K7" s="181"/>
      <c r="L7" s="184"/>
      <c r="M7" s="184"/>
      <c r="N7" s="180"/>
      <c r="O7" s="178"/>
      <c r="P7" s="178"/>
      <c r="Q7" s="183"/>
      <c r="R7" s="50"/>
      <c r="S7" s="50"/>
    </row>
    <row r="8" spans="1:19" s="3" customFormat="1" ht="15" x14ac:dyDescent="0.25">
      <c r="A8" s="177"/>
      <c r="B8" s="7" t="s">
        <v>24</v>
      </c>
      <c r="C8" s="9">
        <v>3.14</v>
      </c>
      <c r="D8" s="178"/>
      <c r="E8" s="178"/>
      <c r="F8" s="8"/>
      <c r="G8" s="179"/>
      <c r="H8" s="179"/>
      <c r="I8" s="178"/>
      <c r="J8" s="180"/>
      <c r="K8" s="181"/>
      <c r="L8" s="184"/>
      <c r="M8" s="184"/>
      <c r="N8" s="180"/>
      <c r="O8" s="178"/>
      <c r="P8" s="178"/>
      <c r="Q8" s="183"/>
      <c r="R8" s="50"/>
      <c r="S8" s="50"/>
    </row>
    <row r="9" spans="1:19" s="3" customFormat="1" ht="15" x14ac:dyDescent="0.25">
      <c r="A9" s="177"/>
      <c r="B9" s="7" t="s">
        <v>28</v>
      </c>
      <c r="C9" s="9">
        <v>3.1</v>
      </c>
      <c r="D9" s="178"/>
      <c r="E9" s="178"/>
      <c r="F9" s="8"/>
      <c r="G9" s="179"/>
      <c r="H9" s="179"/>
      <c r="I9" s="178"/>
      <c r="J9" s="180"/>
      <c r="K9" s="181"/>
      <c r="L9" s="184"/>
      <c r="M9" s="184"/>
      <c r="N9" s="180"/>
      <c r="O9" s="178"/>
      <c r="P9" s="178"/>
      <c r="Q9" s="183"/>
      <c r="R9" s="50"/>
      <c r="S9" s="50"/>
    </row>
    <row r="10" spans="1:19" s="3" customFormat="1" ht="15" x14ac:dyDescent="0.25">
      <c r="A10" s="177"/>
      <c r="B10" s="7" t="s">
        <v>79</v>
      </c>
      <c r="C10" s="7">
        <v>2.87</v>
      </c>
      <c r="D10" s="178"/>
      <c r="E10" s="178"/>
      <c r="F10" s="8"/>
      <c r="G10" s="179"/>
      <c r="H10" s="179"/>
      <c r="I10" s="178"/>
      <c r="J10" s="185"/>
      <c r="K10" s="181"/>
      <c r="L10" s="184"/>
      <c r="M10" s="184"/>
      <c r="N10" s="180"/>
      <c r="O10" s="178"/>
      <c r="P10" s="178"/>
      <c r="Q10" s="183"/>
      <c r="R10" s="50"/>
      <c r="S10" s="50"/>
    </row>
    <row r="11" spans="1:19" s="3" customFormat="1" ht="15" x14ac:dyDescent="0.25">
      <c r="A11" s="186">
        <v>2</v>
      </c>
      <c r="B11" s="38" t="s">
        <v>80</v>
      </c>
      <c r="C11" s="37">
        <v>2.64</v>
      </c>
      <c r="D11" s="37" t="s">
        <v>18</v>
      </c>
      <c r="E11" s="37" t="s">
        <v>18</v>
      </c>
      <c r="F11" s="43">
        <v>7</v>
      </c>
      <c r="G11" s="42">
        <v>3</v>
      </c>
      <c r="H11" s="42">
        <v>3</v>
      </c>
      <c r="I11" s="34">
        <v>1</v>
      </c>
      <c r="J11" s="128">
        <v>6</v>
      </c>
      <c r="K11" s="37">
        <f>J11/F11</f>
        <v>0.8571428571428571</v>
      </c>
      <c r="L11" s="47">
        <v>0</v>
      </c>
      <c r="M11" s="47">
        <v>0</v>
      </c>
      <c r="N11" s="51">
        <v>0</v>
      </c>
      <c r="O11" s="38">
        <v>3</v>
      </c>
      <c r="P11" s="38">
        <v>7</v>
      </c>
      <c r="Q11" s="113">
        <v>1</v>
      </c>
      <c r="R11" s="50"/>
      <c r="S11" s="50"/>
    </row>
    <row r="12" spans="1:19" s="3" customFormat="1" ht="15" x14ac:dyDescent="0.25">
      <c r="A12" s="186"/>
      <c r="B12" s="38" t="s">
        <v>81</v>
      </c>
      <c r="C12" s="38" t="s">
        <v>18</v>
      </c>
      <c r="D12" s="38" t="s">
        <v>18</v>
      </c>
      <c r="E12" s="187" t="s">
        <v>35</v>
      </c>
      <c r="F12" s="42">
        <v>3</v>
      </c>
      <c r="G12" s="42">
        <v>0</v>
      </c>
      <c r="H12" s="42">
        <v>0</v>
      </c>
      <c r="I12" s="110" t="s">
        <v>35</v>
      </c>
      <c r="J12" s="128">
        <v>10</v>
      </c>
      <c r="K12" s="37">
        <f>J12/F12</f>
        <v>3.3333333333333335</v>
      </c>
      <c r="L12" s="47">
        <v>0</v>
      </c>
      <c r="M12" s="47">
        <v>0</v>
      </c>
      <c r="N12" s="114">
        <v>0</v>
      </c>
      <c r="O12" s="38">
        <v>3</v>
      </c>
      <c r="P12" s="38">
        <v>13</v>
      </c>
      <c r="Q12" s="113">
        <v>0</v>
      </c>
      <c r="R12" s="50"/>
      <c r="S12" s="50"/>
    </row>
    <row r="13" spans="1:19" s="3" customFormat="1" ht="15" x14ac:dyDescent="0.25">
      <c r="A13" s="186"/>
      <c r="B13" s="38" t="s">
        <v>82</v>
      </c>
      <c r="C13" s="37" t="s">
        <v>18</v>
      </c>
      <c r="D13" s="37" t="s">
        <v>18</v>
      </c>
      <c r="E13" s="37" t="s">
        <v>18</v>
      </c>
      <c r="F13" s="43">
        <v>3</v>
      </c>
      <c r="G13" s="42">
        <v>2</v>
      </c>
      <c r="H13" s="42">
        <v>2</v>
      </c>
      <c r="I13" s="34">
        <v>1</v>
      </c>
      <c r="J13" s="128"/>
      <c r="K13" s="37">
        <f>J13/F13</f>
        <v>0</v>
      </c>
      <c r="L13" s="47">
        <v>0</v>
      </c>
      <c r="M13" s="47">
        <f>L13/F13</f>
        <v>0</v>
      </c>
      <c r="N13" s="51">
        <v>0</v>
      </c>
      <c r="O13" s="38">
        <v>4</v>
      </c>
      <c r="P13" s="38">
        <v>9</v>
      </c>
      <c r="Q13" s="113">
        <v>0</v>
      </c>
      <c r="R13" s="50"/>
      <c r="S13" s="50"/>
    </row>
    <row r="14" spans="1:19" s="3" customFormat="1" thickBot="1" x14ac:dyDescent="0.3">
      <c r="A14" s="188"/>
      <c r="B14" s="189" t="s">
        <v>83</v>
      </c>
      <c r="C14" s="39" t="s">
        <v>18</v>
      </c>
      <c r="D14" s="190" t="s">
        <v>18</v>
      </c>
      <c r="E14" s="39" t="s">
        <v>35</v>
      </c>
      <c r="F14" s="191">
        <v>2</v>
      </c>
      <c r="G14" s="192">
        <v>0</v>
      </c>
      <c r="H14" s="192">
        <v>0</v>
      </c>
      <c r="I14" s="35" t="s">
        <v>35</v>
      </c>
      <c r="J14" s="193"/>
      <c r="K14" s="39">
        <f>J14/F14</f>
        <v>0</v>
      </c>
      <c r="L14" s="129">
        <v>0</v>
      </c>
      <c r="M14" s="129">
        <f>L14/F14</f>
        <v>0</v>
      </c>
      <c r="N14" s="194">
        <v>0</v>
      </c>
      <c r="O14" s="189">
        <v>1</v>
      </c>
      <c r="P14" s="189">
        <v>7</v>
      </c>
      <c r="Q14" s="195">
        <v>0</v>
      </c>
      <c r="R14" s="50"/>
      <c r="S14" s="50"/>
    </row>
    <row r="15" spans="1:19" s="3" customFormat="1" ht="15" x14ac:dyDescent="0.25">
      <c r="A15" s="226" t="s">
        <v>84</v>
      </c>
      <c r="B15" s="227"/>
      <c r="C15" s="196" t="s">
        <v>35</v>
      </c>
      <c r="D15" s="197" t="s">
        <v>35</v>
      </c>
      <c r="E15" s="196" t="s">
        <v>35</v>
      </c>
      <c r="F15" s="198">
        <f>SUM(F3:F14)</f>
        <v>26</v>
      </c>
      <c r="G15" s="198">
        <f>SUM(G3:G14)</f>
        <v>6</v>
      </c>
      <c r="H15" s="198">
        <f>SUM(H3:H14)</f>
        <v>6</v>
      </c>
      <c r="I15" s="199" t="s">
        <v>35</v>
      </c>
      <c r="J15" s="198">
        <f>SUM(J3:J13)</f>
        <v>31</v>
      </c>
      <c r="K15" s="200" t="s">
        <v>35</v>
      </c>
      <c r="L15" s="201">
        <f>SUM(L3:L14)</f>
        <v>0</v>
      </c>
      <c r="M15" s="202" t="s">
        <v>35</v>
      </c>
      <c r="N15" s="203">
        <f>SUM(N3:N14)</f>
        <v>0</v>
      </c>
      <c r="O15" s="203">
        <f>SUM(O3:O14)</f>
        <v>12</v>
      </c>
      <c r="P15" s="203">
        <f>SUM(P3:P14)</f>
        <v>47</v>
      </c>
      <c r="Q15" s="204">
        <f>SUM(Q3:Q14)</f>
        <v>3</v>
      </c>
      <c r="R15" s="50"/>
      <c r="S15" s="50"/>
    </row>
    <row r="16" spans="1:19" s="3" customFormat="1" ht="15" x14ac:dyDescent="0.25">
      <c r="A16" s="224" t="s">
        <v>85</v>
      </c>
      <c r="B16" s="225"/>
      <c r="C16" s="205">
        <v>2.87</v>
      </c>
      <c r="D16" s="205">
        <v>3.05</v>
      </c>
      <c r="E16" s="205" t="s">
        <v>35</v>
      </c>
      <c r="F16" s="206">
        <f>AVERAGE(F3:F14)</f>
        <v>5.2</v>
      </c>
      <c r="G16" s="206">
        <f>AVERAGE(G3:G14)</f>
        <v>1.2</v>
      </c>
      <c r="H16" s="206">
        <f>AVERAGE(H3:H14)</f>
        <v>1.2</v>
      </c>
      <c r="I16" s="207" t="s">
        <v>35</v>
      </c>
      <c r="J16" s="206">
        <f t="shared" ref="J16:K16" si="0">AVERAGE(J3:J13)</f>
        <v>10.333333333333334</v>
      </c>
      <c r="K16" s="205">
        <f t="shared" si="0"/>
        <v>1.3885281385281385</v>
      </c>
      <c r="L16" s="208">
        <f>AVERAGE(L3:L14)</f>
        <v>0</v>
      </c>
      <c r="M16" s="208">
        <v>0</v>
      </c>
      <c r="N16" s="209">
        <f>AVERAGE(N3:N14)</f>
        <v>0</v>
      </c>
      <c r="O16" s="209">
        <f>AVERAGE(O3:O14)</f>
        <v>2.4</v>
      </c>
      <c r="P16" s="206">
        <f>P15/4</f>
        <v>11.75</v>
      </c>
      <c r="Q16" s="210">
        <f>AVERAGE(Q3:Q14)</f>
        <v>0.6</v>
      </c>
      <c r="R16" s="50"/>
      <c r="S16" s="50"/>
    </row>
    <row r="17" spans="1:19" s="3" customFormat="1" ht="15" x14ac:dyDescent="0.25">
      <c r="A17" s="226" t="s">
        <v>42</v>
      </c>
      <c r="B17" s="227"/>
      <c r="C17" s="198" t="str">
        <f>IFC!C26</f>
        <v>-</v>
      </c>
      <c r="D17" s="198" t="str">
        <f>IFC!D26</f>
        <v>-</v>
      </c>
      <c r="E17" s="198" t="str">
        <f>IFC!E26</f>
        <v>-</v>
      </c>
      <c r="F17" s="198">
        <f>IFC!F26</f>
        <v>809</v>
      </c>
      <c r="G17" s="198">
        <f>IFC!G26</f>
        <v>83</v>
      </c>
      <c r="H17" s="198">
        <f>IFC!H26</f>
        <v>66</v>
      </c>
      <c r="I17" s="198" t="str">
        <f>IFC!I26</f>
        <v>-</v>
      </c>
      <c r="J17" s="198">
        <f>IFC!J26</f>
        <v>4514.5</v>
      </c>
      <c r="K17" s="198" t="str">
        <f>IFC!K26</f>
        <v>-</v>
      </c>
      <c r="L17" s="201">
        <f>IFC!L26</f>
        <v>35320.380000000005</v>
      </c>
      <c r="M17" s="201" t="str">
        <f>IFC!M26</f>
        <v>-</v>
      </c>
      <c r="N17" s="198">
        <f>IFC!N26</f>
        <v>1024</v>
      </c>
      <c r="O17" s="198">
        <f>IFC!O26</f>
        <v>50</v>
      </c>
      <c r="P17" s="198">
        <f>IFC!P26</f>
        <v>190</v>
      </c>
      <c r="Q17" s="204">
        <f>IFC!Q26</f>
        <v>72</v>
      </c>
      <c r="R17" s="50"/>
      <c r="S17" s="50"/>
    </row>
    <row r="18" spans="1:19" s="3" customFormat="1" ht="15" customHeight="1" x14ac:dyDescent="0.25">
      <c r="A18" s="228" t="s">
        <v>43</v>
      </c>
      <c r="B18" s="229"/>
      <c r="C18" s="211">
        <v>3.1</v>
      </c>
      <c r="D18" s="211">
        <f>IFC!D27</f>
        <v>3.0846666666666667</v>
      </c>
      <c r="E18" s="211" t="str">
        <f>IFC!E27</f>
        <v>-</v>
      </c>
      <c r="F18" s="211">
        <f>IFC!F27</f>
        <v>44.944444444444443</v>
      </c>
      <c r="G18" s="211">
        <f>IFC!G27</f>
        <v>4.6111111111111107</v>
      </c>
      <c r="H18" s="211">
        <f>IFC!H27</f>
        <v>3.6666666666666665</v>
      </c>
      <c r="I18" s="211">
        <f>IFC!I27</f>
        <v>0.75833333333333341</v>
      </c>
      <c r="J18" s="211">
        <f>IFC!J27</f>
        <v>250.80555555555554</v>
      </c>
      <c r="K18" s="211">
        <f>IFC!K27</f>
        <v>3.5710087322775528</v>
      </c>
      <c r="L18" s="212">
        <f>IFC!L27</f>
        <v>1962.2433333333336</v>
      </c>
      <c r="M18" s="212">
        <f>IFC!M27</f>
        <v>36.031057612611285</v>
      </c>
      <c r="N18" s="211">
        <f>IFC!N27</f>
        <v>56.888888888888886</v>
      </c>
      <c r="O18" s="211">
        <f>IFC!O27</f>
        <v>2.7777777777777777</v>
      </c>
      <c r="P18" s="211">
        <f>IFC!P27</f>
        <v>10.555555555555555</v>
      </c>
      <c r="Q18" s="213">
        <f>IFC!Q27</f>
        <v>4</v>
      </c>
      <c r="R18" s="4"/>
      <c r="S18" s="4"/>
    </row>
    <row r="19" spans="1:19" s="3" customFormat="1" ht="15" customHeight="1" x14ac:dyDescent="0.25">
      <c r="A19" s="232" t="s">
        <v>73</v>
      </c>
      <c r="B19" s="233"/>
      <c r="C19" s="196" t="str">
        <f>PHA!C19</f>
        <v>-</v>
      </c>
      <c r="D19" s="196" t="str">
        <f>PHA!D19</f>
        <v>-</v>
      </c>
      <c r="E19" s="196" t="str">
        <f>PHA!E19</f>
        <v>-</v>
      </c>
      <c r="F19" s="196">
        <f>PHA!F19</f>
        <v>987</v>
      </c>
      <c r="G19" s="196">
        <f>PHA!G19</f>
        <v>47</v>
      </c>
      <c r="H19" s="196">
        <f>PHA!H19</f>
        <v>44</v>
      </c>
      <c r="I19" s="196" t="str">
        <f>PHA!I19</f>
        <v>-</v>
      </c>
      <c r="J19" s="196">
        <f>PHA!J19</f>
        <v>6332</v>
      </c>
      <c r="K19" s="196" t="str">
        <f>PHA!K19</f>
        <v>-</v>
      </c>
      <c r="L19" s="202">
        <f>PHA!L19</f>
        <v>11704.099999999999</v>
      </c>
      <c r="M19" s="202" t="str">
        <f>PHA!M19</f>
        <v>-</v>
      </c>
      <c r="N19" s="196">
        <f>PHA!N19</f>
        <v>385</v>
      </c>
      <c r="O19" s="196">
        <f>PHA!O19</f>
        <v>32</v>
      </c>
      <c r="P19" s="196">
        <f>PHA!P19</f>
        <v>163</v>
      </c>
      <c r="Q19" s="214">
        <f>PHA!Q19</f>
        <v>168</v>
      </c>
      <c r="R19" s="4"/>
      <c r="S19" s="4"/>
    </row>
    <row r="20" spans="1:19" s="3" customFormat="1" ht="15" x14ac:dyDescent="0.25">
      <c r="A20" s="215" t="s">
        <v>74</v>
      </c>
      <c r="B20" s="216"/>
      <c r="C20" s="205">
        <v>3.31</v>
      </c>
      <c r="D20" s="205">
        <f>PHA!D20</f>
        <v>3.3333333333333335</v>
      </c>
      <c r="E20" s="205" t="str">
        <f>PHA!E20</f>
        <v>-</v>
      </c>
      <c r="F20" s="205">
        <f>PHA!F20</f>
        <v>98.7</v>
      </c>
      <c r="G20" s="205">
        <f>PHA!G20</f>
        <v>4.7</v>
      </c>
      <c r="H20" s="205">
        <f>PHA!H20</f>
        <v>4.4000000000000004</v>
      </c>
      <c r="I20" s="205">
        <f>PHA!I20</f>
        <v>0.97592592592592586</v>
      </c>
      <c r="J20" s="205">
        <f>PHA!J20</f>
        <v>575.63636363636363</v>
      </c>
      <c r="K20" s="205">
        <f>PHA!K20</f>
        <v>5.8792620739237957</v>
      </c>
      <c r="L20" s="208">
        <f>PHA!L20</f>
        <v>1064.0090909090907</v>
      </c>
      <c r="M20" s="208">
        <f>PHA!M20</f>
        <v>8.7862031879530118</v>
      </c>
      <c r="N20" s="205">
        <f>PHA!N20</f>
        <v>35</v>
      </c>
      <c r="O20" s="205">
        <f>PHA!O20</f>
        <v>2.9090909090909092</v>
      </c>
      <c r="P20" s="205">
        <f>PHA!P20</f>
        <v>14.818181818181818</v>
      </c>
      <c r="Q20" s="210">
        <f>PHA!Q20</f>
        <v>15.272727272727273</v>
      </c>
      <c r="R20" s="50"/>
      <c r="S20" s="50"/>
    </row>
    <row r="21" spans="1:19" s="3" customFormat="1" ht="15" x14ac:dyDescent="0.25">
      <c r="A21" s="232" t="s">
        <v>44</v>
      </c>
      <c r="B21" s="233"/>
      <c r="C21" s="196" t="str">
        <f>IFC!C28</f>
        <v>-</v>
      </c>
      <c r="D21" s="196" t="str">
        <f>IFC!D28</f>
        <v>-</v>
      </c>
      <c r="E21" s="196" t="str">
        <f>IFC!E28</f>
        <v>-</v>
      </c>
      <c r="F21" s="196">
        <f>IFC!F28</f>
        <v>1807</v>
      </c>
      <c r="G21" s="196">
        <f>IFC!G28</f>
        <v>131</v>
      </c>
      <c r="H21" s="196">
        <f>IFC!H28</f>
        <v>111</v>
      </c>
      <c r="I21" s="196" t="str">
        <f>IFC!I28</f>
        <v>-</v>
      </c>
      <c r="J21" s="196">
        <f>IFC!J28</f>
        <v>10861.5</v>
      </c>
      <c r="K21" s="196" t="str">
        <f>IFC!K28</f>
        <v>-</v>
      </c>
      <c r="L21" s="202">
        <f>IFC!L28</f>
        <v>47024.480000000003</v>
      </c>
      <c r="M21" s="202" t="str">
        <f>IFC!M28</f>
        <v>-</v>
      </c>
      <c r="N21" s="196">
        <f>IFC!N28</f>
        <v>1409</v>
      </c>
      <c r="O21" s="196">
        <f>IFC!O28</f>
        <v>82</v>
      </c>
      <c r="P21" s="196">
        <f>IFC!P28</f>
        <v>353</v>
      </c>
      <c r="Q21" s="214">
        <f>IFC!Q28</f>
        <v>242</v>
      </c>
      <c r="R21" s="50"/>
      <c r="S21" s="50"/>
    </row>
    <row r="22" spans="1:19" s="3" customFormat="1" ht="15" x14ac:dyDescent="0.25">
      <c r="A22" s="230" t="s">
        <v>45</v>
      </c>
      <c r="B22" s="231"/>
      <c r="C22" s="217">
        <v>3.22</v>
      </c>
      <c r="D22" s="217">
        <f>IFC!D29</f>
        <v>3.201304347826087</v>
      </c>
      <c r="E22" s="217" t="str">
        <f>IFC!E29</f>
        <v>-</v>
      </c>
      <c r="F22" s="217">
        <f>IFC!F29</f>
        <v>62.310344827586206</v>
      </c>
      <c r="G22" s="217">
        <f>IFC!G29</f>
        <v>4.5172413793103452</v>
      </c>
      <c r="H22" s="217">
        <f>IFC!H29</f>
        <v>3.8275862068965516</v>
      </c>
      <c r="I22" s="217">
        <f>IFC!I29</f>
        <v>0.84545454545454557</v>
      </c>
      <c r="J22" s="217">
        <f>IFC!J29</f>
        <v>374.5344827586207</v>
      </c>
      <c r="K22" s="217">
        <f>IFC!K29</f>
        <v>4.3953849257226398</v>
      </c>
      <c r="L22" s="218">
        <f>IFC!L29</f>
        <v>1621.5337931034485</v>
      </c>
      <c r="M22" s="218">
        <f>IFC!M29</f>
        <v>26.300752460947617</v>
      </c>
      <c r="N22" s="217">
        <f>IFC!N29</f>
        <v>48.586206896551722</v>
      </c>
      <c r="O22" s="217">
        <f>IFC!O29</f>
        <v>2.8275862068965516</v>
      </c>
      <c r="P22" s="217">
        <f>IFC!P29</f>
        <v>12.172413793103448</v>
      </c>
      <c r="Q22" s="219">
        <f>IFC!Q29</f>
        <v>8.3448275862068968</v>
      </c>
      <c r="R22" s="50"/>
      <c r="S22" s="50"/>
    </row>
    <row r="23" spans="1:19" s="3" customFormat="1" ht="15.75" customHeight="1" x14ac:dyDescent="0.25">
      <c r="A23" s="50"/>
      <c r="B23" s="50"/>
      <c r="C23" s="50"/>
      <c r="D23" s="50"/>
      <c r="E23" s="50"/>
      <c r="F23" s="50"/>
      <c r="G23" s="50"/>
      <c r="H23" s="235" t="s">
        <v>46</v>
      </c>
      <c r="I23" s="235"/>
      <c r="J23" s="235" t="s">
        <v>47</v>
      </c>
      <c r="K23" s="235"/>
      <c r="L23" s="235"/>
      <c r="M23" s="234" t="s">
        <v>48</v>
      </c>
      <c r="N23" s="234"/>
      <c r="O23" s="220" t="s">
        <v>49</v>
      </c>
      <c r="P23" s="220"/>
      <c r="Q23" s="220"/>
      <c r="R23" s="50"/>
      <c r="S23" s="50"/>
    </row>
    <row r="24" spans="1:19" s="3" customFormat="1" ht="15" x14ac:dyDescent="0.25">
      <c r="A24" s="100"/>
      <c r="B24" s="100"/>
      <c r="C24" s="100"/>
      <c r="D24" s="100"/>
      <c r="E24" s="100"/>
      <c r="F24" s="100"/>
      <c r="G24" s="100"/>
      <c r="H24" s="100"/>
      <c r="I24" s="100"/>
      <c r="J24" s="169"/>
      <c r="K24" s="169"/>
      <c r="L24" s="169"/>
      <c r="M24" s="169"/>
      <c r="N24" s="170"/>
      <c r="O24" s="50"/>
      <c r="P24" s="50"/>
      <c r="Q24" s="50"/>
      <c r="R24" s="50"/>
      <c r="S24" s="50"/>
    </row>
    <row r="25" spans="1:19" s="3" customFormat="1" ht="15" x14ac:dyDescent="0.25">
      <c r="A25" s="100"/>
      <c r="B25" s="100"/>
      <c r="C25" s="100"/>
      <c r="D25" s="100"/>
      <c r="E25" s="100"/>
      <c r="F25" s="100"/>
      <c r="G25" s="100"/>
      <c r="H25" s="100"/>
      <c r="I25" s="100"/>
      <c r="J25" s="169"/>
      <c r="K25" s="169"/>
      <c r="L25" s="169"/>
      <c r="M25" s="169"/>
      <c r="N25" s="170"/>
      <c r="O25" s="50"/>
      <c r="P25" s="50"/>
      <c r="Q25" s="50"/>
      <c r="R25" s="50"/>
      <c r="S25" s="50"/>
    </row>
    <row r="26" spans="1:19" s="3" customFormat="1" ht="15" x14ac:dyDescent="0.25">
      <c r="A26" s="100"/>
      <c r="B26" s="100"/>
      <c r="C26" s="100"/>
      <c r="D26" s="100"/>
      <c r="E26" s="100"/>
      <c r="F26" s="100"/>
      <c r="G26" s="100"/>
      <c r="H26" s="100"/>
      <c r="I26" s="100"/>
      <c r="J26" s="171"/>
      <c r="K26" s="171"/>
      <c r="L26" s="171"/>
      <c r="M26" s="171"/>
      <c r="N26" s="171"/>
      <c r="O26" s="171"/>
      <c r="P26" s="171"/>
      <c r="Q26" s="171"/>
      <c r="R26" s="50"/>
      <c r="S26" s="50"/>
    </row>
    <row r="27" spans="1:19" s="3" customFormat="1" ht="15" x14ac:dyDescent="0.25">
      <c r="A27" s="50"/>
      <c r="B27" s="50"/>
      <c r="C27" s="50"/>
      <c r="D27" s="50"/>
      <c r="E27" s="50"/>
      <c r="F27" s="50"/>
      <c r="G27" s="50"/>
      <c r="H27" s="50"/>
      <c r="I27" s="50"/>
      <c r="J27" s="50"/>
      <c r="K27" s="50"/>
      <c r="L27" s="50"/>
      <c r="M27" s="50"/>
      <c r="N27" s="50"/>
      <c r="O27" s="50"/>
      <c r="P27" s="50"/>
      <c r="Q27" s="50"/>
      <c r="R27" s="50"/>
      <c r="S27" s="50"/>
    </row>
    <row r="28" spans="1:19" s="3" customFormat="1" ht="15" x14ac:dyDescent="0.25">
      <c r="A28" s="50"/>
      <c r="B28" s="50"/>
      <c r="C28" s="50"/>
      <c r="D28" s="50"/>
      <c r="E28" s="50"/>
      <c r="F28" s="50"/>
      <c r="G28" s="50"/>
      <c r="H28" s="50"/>
      <c r="I28" s="50"/>
      <c r="J28" s="50"/>
      <c r="K28" s="50"/>
      <c r="L28" s="50"/>
      <c r="M28" s="50"/>
      <c r="N28" s="50"/>
      <c r="O28" s="50"/>
      <c r="P28" s="50"/>
      <c r="Q28" s="50"/>
      <c r="R28" s="50"/>
      <c r="S28" s="50"/>
    </row>
    <row r="29" spans="1:19" s="3" customFormat="1" ht="15" x14ac:dyDescent="0.25">
      <c r="A29" s="50"/>
      <c r="B29" s="50"/>
      <c r="C29" s="50"/>
      <c r="D29" s="50"/>
      <c r="E29" s="50"/>
      <c r="F29" s="50"/>
      <c r="G29" s="50"/>
      <c r="H29" s="50"/>
      <c r="I29" s="50"/>
      <c r="J29" s="50"/>
      <c r="K29" s="50"/>
      <c r="L29" s="50"/>
      <c r="M29" s="50"/>
      <c r="N29" s="50"/>
      <c r="O29" s="50"/>
      <c r="P29" s="50"/>
      <c r="Q29" s="50"/>
      <c r="R29" s="50"/>
      <c r="S29" s="50"/>
    </row>
    <row r="30" spans="1:19" s="3" customFormat="1" ht="15" x14ac:dyDescent="0.25">
      <c r="A30" s="50"/>
      <c r="B30" s="50"/>
      <c r="C30" s="50"/>
      <c r="D30" s="50"/>
      <c r="E30" s="50"/>
      <c r="F30" s="50"/>
      <c r="G30" s="50"/>
      <c r="H30" s="50"/>
      <c r="I30" s="50"/>
      <c r="J30" s="50"/>
      <c r="K30" s="50"/>
      <c r="L30" s="50"/>
      <c r="M30" s="50"/>
      <c r="N30" s="50"/>
      <c r="O30" s="50"/>
      <c r="P30" s="50"/>
      <c r="Q30" s="50"/>
      <c r="R30" s="50"/>
      <c r="S30" s="50"/>
    </row>
    <row r="31" spans="1:19" s="3" customFormat="1" ht="15" x14ac:dyDescent="0.25">
      <c r="A31" s="50"/>
      <c r="B31" s="50"/>
      <c r="C31" s="50"/>
      <c r="D31" s="50"/>
      <c r="E31" s="50"/>
      <c r="F31" s="50"/>
      <c r="G31" s="50"/>
      <c r="H31" s="50"/>
      <c r="I31" s="50"/>
      <c r="J31" s="50"/>
      <c r="K31" s="50"/>
      <c r="L31" s="50"/>
      <c r="M31" s="50"/>
      <c r="N31" s="50"/>
      <c r="O31" s="50"/>
      <c r="P31" s="50"/>
      <c r="Q31" s="50"/>
      <c r="R31" s="50"/>
      <c r="S31" s="50"/>
    </row>
    <row r="32" spans="1:19" s="3" customFormat="1" ht="15" x14ac:dyDescent="0.25">
      <c r="A32" s="50"/>
      <c r="B32" s="50"/>
      <c r="C32" s="50"/>
      <c r="D32" s="50"/>
      <c r="E32" s="50"/>
      <c r="F32" s="50"/>
      <c r="G32" s="50"/>
      <c r="H32" s="50"/>
      <c r="I32" s="50"/>
      <c r="J32" s="50"/>
      <c r="K32" s="50"/>
      <c r="L32" s="50"/>
      <c r="M32" s="50"/>
      <c r="N32" s="50"/>
      <c r="O32" s="50"/>
      <c r="P32" s="50"/>
      <c r="Q32" s="50"/>
      <c r="R32" s="50"/>
      <c r="S32" s="50"/>
    </row>
    <row r="33" spans="1:19" s="3" customFormat="1" ht="15" x14ac:dyDescent="0.25">
      <c r="A33" s="50"/>
      <c r="B33" s="50"/>
      <c r="C33" s="50"/>
      <c r="D33" s="50"/>
      <c r="E33" s="50"/>
      <c r="F33" s="50"/>
      <c r="G33" s="50"/>
      <c r="H33" s="50"/>
      <c r="I33" s="50"/>
      <c r="J33" s="50"/>
      <c r="K33" s="50"/>
      <c r="L33" s="50"/>
      <c r="M33" s="50"/>
      <c r="N33" s="50"/>
      <c r="O33" s="50"/>
      <c r="P33" s="50"/>
      <c r="Q33" s="50"/>
      <c r="R33" s="50"/>
      <c r="S33" s="50"/>
    </row>
    <row r="34" spans="1:19" s="3" customFormat="1" ht="15" x14ac:dyDescent="0.25">
      <c r="A34" s="50"/>
      <c r="B34" s="50"/>
      <c r="C34" s="50"/>
      <c r="D34" s="50"/>
      <c r="E34" s="50"/>
      <c r="F34" s="50"/>
      <c r="G34" s="50"/>
      <c r="H34" s="50"/>
      <c r="I34" s="50"/>
      <c r="J34" s="50"/>
      <c r="K34" s="50"/>
      <c r="L34" s="50"/>
      <c r="M34" s="50"/>
      <c r="N34" s="50"/>
      <c r="O34" s="50"/>
      <c r="P34" s="50"/>
      <c r="Q34" s="50"/>
      <c r="R34" s="50"/>
      <c r="S34" s="50"/>
    </row>
    <row r="35" spans="1:19" s="3" customFormat="1" ht="15" x14ac:dyDescent="0.25">
      <c r="A35" s="50"/>
      <c r="B35" s="50"/>
      <c r="C35" s="50"/>
      <c r="D35" s="50"/>
      <c r="E35" s="50"/>
      <c r="F35" s="50"/>
      <c r="G35" s="50"/>
      <c r="H35" s="50"/>
      <c r="I35" s="50"/>
      <c r="J35" s="50"/>
      <c r="K35" s="50"/>
      <c r="L35" s="50"/>
      <c r="M35" s="50"/>
      <c r="N35" s="50"/>
      <c r="O35" s="50"/>
      <c r="P35" s="50"/>
      <c r="Q35" s="50"/>
      <c r="R35" s="50"/>
      <c r="S35" s="50"/>
    </row>
  </sheetData>
  <sortState xmlns:xlrd2="http://schemas.microsoft.com/office/spreadsheetml/2017/richdata2" ref="A3:Q11">
    <sortCondition descending="1" ref="C3:C11"/>
  </sortState>
  <mergeCells count="13">
    <mergeCell ref="O23:Q23"/>
    <mergeCell ref="A1:Q1"/>
    <mergeCell ref="A16:B16"/>
    <mergeCell ref="A15:B15"/>
    <mergeCell ref="A18:B18"/>
    <mergeCell ref="A22:B22"/>
    <mergeCell ref="A17:B17"/>
    <mergeCell ref="A19:B19"/>
    <mergeCell ref="A21:B21"/>
    <mergeCell ref="M23:N23"/>
    <mergeCell ref="J23:L23"/>
    <mergeCell ref="H23:I23"/>
    <mergeCell ref="A2:B2"/>
  </mergeCells>
  <pageMargins left="0.7" right="0.7" top="0.75" bottom="0.75" header="0.3" footer="0.3"/>
  <pageSetup scale="54" orientation="landscape" r:id="rId1"/>
  <ignoredErrors>
    <ignoredError sqref="P1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22CABDE301D649B2142A03447EEE7A" ma:contentTypeVersion="13" ma:contentTypeDescription="Create a new document." ma:contentTypeScope="" ma:versionID="2d947b36a88a953fb7b751898ffeb1f1">
  <xsd:schema xmlns:xsd="http://www.w3.org/2001/XMLSchema" xmlns:xs="http://www.w3.org/2001/XMLSchema" xmlns:p="http://schemas.microsoft.com/office/2006/metadata/properties" xmlns:ns1="http://schemas.microsoft.com/sharepoint/v3" xmlns:ns2="f466e2ea-dce7-4f14-b366-928ece4dee86" targetNamespace="http://schemas.microsoft.com/office/2006/metadata/properties" ma:root="true" ma:fieldsID="4014c4a93beaf465b44830de4e7f3c92" ns1:_="" ns2:_="">
    <xsd:import namespace="http://schemas.microsoft.com/sharepoint/v3"/>
    <xsd:import namespace="f466e2ea-dce7-4f14-b366-928ece4dee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66e2ea-dce7-4f14-b366-928ece4dee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da40051-455f-48ac-bab4-8728f93bacd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f466e2ea-dce7-4f14-b366-928ece4dee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C9E8F-ADFA-46FF-A127-E7C38F4F7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466e2ea-dce7-4f14-b366-928ece4de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C9276A-2617-4799-AC2D-82C9072BF70B}">
  <ds:schemaRefs>
    <ds:schemaRef ds:uri="http://schemas.microsoft.com/office/2006/metadata/properties"/>
    <ds:schemaRef ds:uri="http://schemas.microsoft.com/office/infopath/2007/PartnerControls"/>
    <ds:schemaRef ds:uri="http://schemas.microsoft.com/sharepoint/v3"/>
    <ds:schemaRef ds:uri="f466e2ea-dce7-4f14-b366-928ece4dee86"/>
  </ds:schemaRefs>
</ds:datastoreItem>
</file>

<file path=customXml/itemProps3.xml><?xml version="1.0" encoding="utf-8"?>
<ds:datastoreItem xmlns:ds="http://schemas.openxmlformats.org/officeDocument/2006/customXml" ds:itemID="{1DBF50C2-A833-4A3E-A16E-B33BB45E5F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IFC</vt:lpstr>
      <vt:lpstr>PHA</vt:lpstr>
      <vt:lpstr>NPHC</vt:lpstr>
    </vt:vector>
  </TitlesOfParts>
  <Manager/>
  <Company>Missouri State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Greninger</dc:creator>
  <cp:keywords/>
  <dc:description/>
  <cp:lastModifiedBy>Havens, Taylor R</cp:lastModifiedBy>
  <cp:revision/>
  <dcterms:created xsi:type="dcterms:W3CDTF">2015-02-02T21:23:06Z</dcterms:created>
  <dcterms:modified xsi:type="dcterms:W3CDTF">2026-07-24T19:28:11Z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0x010100A122CABDE301D649B2142A03447EEE7A</vt:lpwstr>
  </property>
  <property fmtid="{D5CDD505-2E9C-101B-9397-08002B2CF9AE}" pid="3" name="Order">
    <vt:r8>913400</vt:r8>
  </property>
  <property fmtid="{D5CDD505-2E9C-101B-9397-08002B2CF9AE}" pid="4" name="xd_Signature">
    <vt:bool>false</vt:bool>
  </property>
  <property fmtid="{D5CDD505-2E9C-101B-9397-08002B2CF9AE}" pid="5" name="SharedWithUsers">
    <vt:lpwstr>13;#Weber, Terry;#454;#Grayson, LaShata M;#507;#Cavato, Allison E</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